
<file path=[Content_Types].xml><?xml version="1.0" encoding="utf-8"?>
<Types xmlns="http://schemas.openxmlformats.org/package/2006/content-types">
  <Default Extension="xml" ContentType="application/xml"/>
  <Default Extension="png" ContentType="image/png"/>
  <Default Extension="jpeg" ContentType="image/jpeg"/>
  <Default Extension="JPG" ContentType="image/.jp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00" activeTab="1"/>
  </bookViews>
  <sheets>
    <sheet name="CUSTO TOTAL - 1 ANO" sheetId="1" r:id="rId1"/>
    <sheet name="2025" sheetId="3" r:id="rId2"/>
    <sheet name="2026" sheetId="5" r:id="rId3"/>
    <sheet name="INSUMOS ATUAL - PADRÃO SEDU" sheetId="2" r:id="rId4"/>
  </sheets>
  <definedNames>
    <definedName name="_xlnm.Print_Area" localSheetId="0">'CUSTO TOTAL - 1 ANO'!$A:$U</definedName>
    <definedName name="_xlnm.Print_Area" localSheetId="3">'INSUMOS ATUAL - PADRÃO SEDU'!$A$1:$P$28</definedName>
    <definedName name="_xlnm.Print_Area" localSheetId="1">'2025'!$A:$U</definedName>
    <definedName name="_xlnm.Print_Area" localSheetId="2">'2026'!$A:$U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<sst xmlns="http://schemas.openxmlformats.org/spreadsheetml/2006/main" count="445" uniqueCount="136">
  <si>
    <t>GOVERNO DO ESTADO DO ESPÍRITO SANTO</t>
  </si>
  <si>
    <t>DIAS SEMANA</t>
  </si>
  <si>
    <t>DIAS ANO</t>
  </si>
  <si>
    <t>MÊS ANO</t>
  </si>
  <si>
    <t>OBS</t>
  </si>
  <si>
    <t>SECRETARIA DE ESTADO DA EDUCAÇÃO</t>
  </si>
  <si>
    <t>Regular/EJA</t>
  </si>
  <si>
    <t>SUBSECRETARIA DE SUPORTE A EDUCAÇÃO</t>
  </si>
  <si>
    <t>GERÊNCIA DE APOIO ESCOLAR</t>
  </si>
  <si>
    <t>PROGRAMA ESTADUAL DE TRANSPORTE ESCOLAR - PETE</t>
  </si>
  <si>
    <t>AEE/CAEE</t>
  </si>
  <si>
    <t>CUSTO REFERÊNCIAL - MUNICÍPIO DE SÃO ROQUE DO CANAÃ - PERÍODO: 01 ANO</t>
  </si>
  <si>
    <t>Veículo</t>
  </si>
  <si>
    <t>Codigo da(s)
Rota(s)</t>
  </si>
  <si>
    <t>Tipo de Veículo</t>
  </si>
  <si>
    <t>Tipo
Atendimento</t>
  </si>
  <si>
    <t>Dias Letivos
por Semana</t>
  </si>
  <si>
    <t>Monitor</t>
  </si>
  <si>
    <t>% km pav</t>
  </si>
  <si>
    <t>% Poliedro</t>
  </si>
  <si>
    <t>% km npav</t>
  </si>
  <si>
    <t>Km Diário</t>
  </si>
  <si>
    <t>Km pav</t>
  </si>
  <si>
    <t>Km Npav</t>
  </si>
  <si>
    <t>Aluno
Estado</t>
  </si>
  <si>
    <t>Aluno
Município</t>
  </si>
  <si>
    <t>Aluno
Total</t>
  </si>
  <si>
    <t>Fixo</t>
  </si>
  <si>
    <t>Variável
pav</t>
  </si>
  <si>
    <t>Variável
Npav</t>
  </si>
  <si>
    <t>Custo
Estado</t>
  </si>
  <si>
    <t>Custo
Município</t>
  </si>
  <si>
    <t>Custo
Total</t>
  </si>
  <si>
    <t>20251955110-20251955111</t>
  </si>
  <si>
    <t>15 passageiros</t>
  </si>
  <si>
    <t>Empresa</t>
  </si>
  <si>
    <t>SIM (8h)</t>
  </si>
  <si>
    <t>20251955112-20251955113</t>
  </si>
  <si>
    <t>20251955114-20251955115</t>
  </si>
  <si>
    <t>20251955116-20251955117</t>
  </si>
  <si>
    <t>20251955118-20251955119</t>
  </si>
  <si>
    <t>20251955120-20251955121</t>
  </si>
  <si>
    <t>20251955122-20251955123</t>
  </si>
  <si>
    <t>20251955124-20251955125</t>
  </si>
  <si>
    <t>15 passageiros Adaptado</t>
  </si>
  <si>
    <t>20251955126-20251955127</t>
  </si>
  <si>
    <t>20251955128-20251955129</t>
  </si>
  <si>
    <t>20251955130-20251955131</t>
  </si>
  <si>
    <t>23 passageiros</t>
  </si>
  <si>
    <t>20251955132-20251955133</t>
  </si>
  <si>
    <t>41 passageiros</t>
  </si>
  <si>
    <t>20251955134-20251955135</t>
  </si>
  <si>
    <t>20251955136-20251955137</t>
  </si>
  <si>
    <t>20251955138-20251955139</t>
  </si>
  <si>
    <t>20251955140-20251955141</t>
  </si>
  <si>
    <t>20251955142-20251955143</t>
  </si>
  <si>
    <t>20251955144-20251955145</t>
  </si>
  <si>
    <t>20251955146-20251955147</t>
  </si>
  <si>
    <t>20251955148-20251955149</t>
  </si>
  <si>
    <t>20251955150-20251955151</t>
  </si>
  <si>
    <t>20251955152-20251955153</t>
  </si>
  <si>
    <t>TOTAL/MÉDIA</t>
  </si>
  <si>
    <r>
      <rPr>
        <b/>
        <sz val="14"/>
        <rFont val="Calibri"/>
        <charset val="134"/>
        <scheme val="minor"/>
      </rPr>
      <t>1) Informações sobre o Cálculo:</t>
    </r>
    <r>
      <rPr>
        <sz val="14"/>
        <rFont val="Calibri"/>
        <charset val="134"/>
        <scheme val="minor"/>
      </rPr>
      <t xml:space="preserve">
Responsável pelo Custo: Leonardo Altoé Bruschi - Engenheiro
Versão Planilha: 8.1.6
</t>
    </r>
    <r>
      <rPr>
        <b/>
        <sz val="14"/>
        <rFont val="Calibri"/>
        <charset val="134"/>
        <scheme val="minor"/>
      </rPr>
      <t>2) A média prevista é de 205 (duzentos e cinco) dias letivos, para o período de 12 (doze) meses corridos, contemplando, inclusive, o período de recuperação final relativo ao ano letivo de 2025, conforme legalmente estabelecido no Calendário Escolar vigente. No que se refere ao exercício de 2026, a previsão está condicionada à aprovação do respectivo Calendário Escolar.</t>
    </r>
  </si>
  <si>
    <t>CUSTO REFERÊNCIAL - MUNICÍPIO DE SÃO ROQUE DO CANAÃ - EXERCÍCIO: 2025</t>
  </si>
  <si>
    <r>
      <rPr>
        <b/>
        <sz val="14"/>
        <rFont val="Calibri"/>
        <charset val="134"/>
        <scheme val="minor"/>
      </rPr>
      <t>1) Informações sobre o Cálculo:</t>
    </r>
    <r>
      <rPr>
        <sz val="14"/>
        <rFont val="Calibri"/>
        <charset val="134"/>
        <scheme val="minor"/>
      </rPr>
      <t xml:space="preserve">
Responsável pelo Custo: Leonardo Altoé Bruschi - Engenheiro
Versão Planilha: 8.1.6
</t>
    </r>
    <r>
      <rPr>
        <b/>
        <sz val="14"/>
        <rFont val="Calibri"/>
        <charset val="134"/>
        <scheme val="minor"/>
      </rPr>
      <t>2) A média prevista é de 95 (noventa e cinco) dias letivos, contemplando, inclusive, o período de recuperação final, conforme legalmente estabelecido no Calendário Escolar vigente.</t>
    </r>
  </si>
  <si>
    <t>CUSTO REFERÊNCIAL - MUNICÍPIO DE SÃO ROQUE DO CANAÃ - PREVISÃO PARA O EXERCÍCIO: 2026 (ATÉ JULHO)</t>
  </si>
  <si>
    <r>
      <rPr>
        <b/>
        <sz val="14"/>
        <rFont val="Calibri"/>
        <charset val="134"/>
        <scheme val="minor"/>
      </rPr>
      <t>1) Informações sobre o Cálculo:</t>
    </r>
    <r>
      <rPr>
        <sz val="14"/>
        <rFont val="Calibri"/>
        <charset val="134"/>
        <scheme val="minor"/>
      </rPr>
      <t xml:space="preserve">
Responsável pelo Custo: Leonardo Altoé Bruschi - Engenheiro
Versão Planilha: 8.1.6
</t>
    </r>
    <r>
      <rPr>
        <b/>
        <sz val="14"/>
        <rFont val="Calibri"/>
        <charset val="134"/>
        <scheme val="minor"/>
      </rPr>
      <t>2) A média prevista é de 110 (cento e dez) dias letivos, considerando o período até julho de 2026, estando, contudo, condicionada à aprovação do Calendário Escolar correspondente ao ano letivo em referência.</t>
    </r>
  </si>
  <si>
    <t>TABELA DE INSUMOS - SAO ROQUE DO CANAA</t>
  </si>
  <si>
    <t>INFORMAÇÕES DOS VEÍCULOS</t>
  </si>
  <si>
    <t>GRUPO</t>
  </si>
  <si>
    <t>ITEM</t>
  </si>
  <si>
    <t>R$</t>
  </si>
  <si>
    <t>Tipo veículo</t>
  </si>
  <si>
    <t>Modelo
Veículo</t>
  </si>
  <si>
    <t>Valor 
Veículo</t>
  </si>
  <si>
    <t>Tipo
Pneu</t>
  </si>
  <si>
    <t>Valor
Pneu</t>
  </si>
  <si>
    <t>Quantidade
Pneus</t>
  </si>
  <si>
    <t>Vida Útil
 (anos)</t>
  </si>
  <si>
    <t>Valor
Residual</t>
  </si>
  <si>
    <t>Salário / Benefícios</t>
  </si>
  <si>
    <t>Motorista de Veículos de 23 e 44 passageiros</t>
  </si>
  <si>
    <t>08 passageiros</t>
  </si>
  <si>
    <t>VW  Kombi Escolar/50 anos 1.4 Mi Total Flex - Ano 2011 – Gasolina</t>
  </si>
  <si>
    <t>185R14</t>
  </si>
  <si>
    <t>Motorista de Veículos de 08 e 15 passageiros</t>
  </si>
  <si>
    <t>Mercedes-Benz  - Sprinter 313 VAN Street Std. 16L. Dies– Ano 2011 – Diesel</t>
  </si>
  <si>
    <t>205/75R16</t>
  </si>
  <si>
    <t>Monitor do Transporte</t>
  </si>
  <si>
    <t>31 NEOBUS - THUNDER + LOT./ESC./ SPTRANS (diesel) - Ano 2011 – Diesel</t>
  </si>
  <si>
    <t>215/75R17,5</t>
  </si>
  <si>
    <t>Ticket/Vale Alimentação</t>
  </si>
  <si>
    <t>Ônibus Urbano - M.BENZ/INDUSCAR APACHE U- Ano 2011 – Diesel</t>
  </si>
  <si>
    <t>275/80R22,5</t>
  </si>
  <si>
    <t>Plano de Saúde</t>
  </si>
  <si>
    <t>Seguro de Vida</t>
  </si>
  <si>
    <t>TAXAS E CUSTOS DOS VEÍCULOS</t>
  </si>
  <si>
    <t>Encargos</t>
  </si>
  <si>
    <t>Encargos Sociais e Trabalhistas</t>
  </si>
  <si>
    <t>Remuneração Capital (% a.m)</t>
  </si>
  <si>
    <t>IPVA
(% a.a)</t>
  </si>
  <si>
    <t>CRLV
(R$/ano)</t>
  </si>
  <si>
    <t>DPVAT
(R$/ano)</t>
  </si>
  <si>
    <t>Vistoria DETRAN
(R$/ano)</t>
  </si>
  <si>
    <t>GPS
(R$/ano)</t>
  </si>
  <si>
    <t>Seguro</t>
  </si>
  <si>
    <t>Inspeção Tacógrafo
(R$/ano)</t>
  </si>
  <si>
    <t>Valor Disco Tacógrafo (un)</t>
  </si>
  <si>
    <t>Combustível</t>
  </si>
  <si>
    <t>Gasolina</t>
  </si>
  <si>
    <t>Diesel</t>
  </si>
  <si>
    <t>Dias Letivos</t>
  </si>
  <si>
    <t>Dias Letivos Mês (média)</t>
  </si>
  <si>
    <t>Dias Letivos Ano Regular</t>
  </si>
  <si>
    <t>Tributação</t>
  </si>
  <si>
    <t>PIS</t>
  </si>
  <si>
    <t>TABELA RESUMO DE CUSTOS FIXOS MENSAIS DOS VEÍCULOS (R$)</t>
  </si>
  <si>
    <t>COFINS</t>
  </si>
  <si>
    <t>Remuneração do Capital</t>
  </si>
  <si>
    <t>Depreciação do veículo</t>
  </si>
  <si>
    <t>CRLV</t>
  </si>
  <si>
    <t>DPVAT</t>
  </si>
  <si>
    <t>IPVA</t>
  </si>
  <si>
    <t>Tacógrafo</t>
  </si>
  <si>
    <t>Vistoria
DETRAN/ITL</t>
  </si>
  <si>
    <t>GPS</t>
  </si>
  <si>
    <t>TOTAL</t>
  </si>
  <si>
    <t>ISS</t>
  </si>
  <si>
    <t>Outros</t>
  </si>
  <si>
    <t>Despesa Administrativa</t>
  </si>
  <si>
    <t>Km para Inspeção do Veículo</t>
  </si>
  <si>
    <r>
      <rPr>
        <b/>
        <sz val="11"/>
        <color theme="1"/>
        <rFont val="Calibri"/>
        <charset val="134"/>
        <scheme val="minor"/>
      </rPr>
      <t>Observação:</t>
    </r>
    <r>
      <rPr>
        <sz val="11"/>
        <color theme="1"/>
        <rFont val="Calibri"/>
        <charset val="134"/>
        <scheme val="minor"/>
      </rPr>
      <t xml:space="preserve"> As capacidades dos veículos definidas pela SEDU são as mínimas exigidas em cada uma das 4 faixas de veículos (08, 15, 23 e 41 passageiros), podendo ser executadas por veículos de maior capacidade nos casos em que a via permita e que não haja prejuízo aos alunos.</t>
    </r>
  </si>
  <si>
    <t>COEFICIENTES DE CONSUMO DOS VEÍCULOS</t>
  </si>
  <si>
    <t>Lubrificantes</t>
  </si>
  <si>
    <t>Rodagem</t>
  </si>
  <si>
    <t>Manutenção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</si>
</sst>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0">
    <numFmt numFmtId="176" formatCode="_-* #,##0.00_-;\-* #,##0.00_-;_-* &quot;-&quot;??_-;_-@_-"/>
    <numFmt numFmtId="177" formatCode="_(&quot;R$&quot;* #,##0.00_);_(&quot;R$&quot;* \(#,##0.00\);_(&quot;R$&quot;* &quot;-&quot;??_);_(@_)"/>
    <numFmt numFmtId="178" formatCode="_-* #,##0_-;\-* #,##0_-;_-* &quot;-&quot;_-;_-@_-"/>
    <numFmt numFmtId="179" formatCode="_-&quot;R$&quot;\ * #,##0_-;\-&quot;R$&quot;\ * #,##0_-;_-&quot;R$&quot;\ * &quot;-&quot;_-;_-@_-"/>
    <numFmt numFmtId="180" formatCode="&quot;R$&quot;#,##0.00"/>
    <numFmt numFmtId="181" formatCode="_-&quot;R$&quot;* #,##0.00_-;\-&quot;R$&quot;* #,##0.00_-;_-&quot;R$&quot;* &quot;-&quot;??_-;_-@_-"/>
    <numFmt numFmtId="182" formatCode="&quot;R$&quot;\ #,##0.00"/>
    <numFmt numFmtId="183" formatCode="0.0"/>
    <numFmt numFmtId="184" formatCode="0.000000"/>
    <numFmt numFmtId="185" formatCode="#,##0.0"/>
  </numFmts>
  <fonts count="28">
    <font>
      <sz val="11"/>
      <color theme="1"/>
      <name val="Calibri"/>
      <charset val="134"/>
      <scheme val="minor"/>
    </font>
    <font>
      <b/>
      <sz val="11"/>
      <color theme="0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color theme="1"/>
      <name val="Calibri"/>
      <charset val="134"/>
    </font>
    <font>
      <sz val="11"/>
      <name val="Calibri"/>
      <charset val="134"/>
      <scheme val="minor"/>
    </font>
    <font>
      <b/>
      <sz val="24"/>
      <color theme="0"/>
      <name val="Calibri"/>
      <charset val="134"/>
      <scheme val="minor"/>
    </font>
    <font>
      <b/>
      <sz val="11"/>
      <color rgb="FF3F3F3F"/>
      <name val="Calibri"/>
      <charset val="0"/>
      <scheme val="minor"/>
    </font>
    <font>
      <b/>
      <sz val="14"/>
      <name val="Calibri"/>
      <charset val="134"/>
      <scheme val="minor"/>
    </font>
    <font>
      <sz val="10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4"/>
      <name val="Calibri"/>
      <charset val="134"/>
      <scheme val="minor"/>
    </font>
  </fonts>
  <fills count="40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00B0F0"/>
        <bgColor theme="8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3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theme="0" tint="-0.149998474074526"/>
      </left>
      <right style="thin">
        <color theme="0" tint="-0.149998474074526"/>
      </right>
      <top style="thin">
        <color theme="0" tint="-0.149998474074526"/>
      </top>
      <bottom style="thin">
        <color theme="0" tint="-0.149998474074526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8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178" fontId="8" fillId="0" borderId="0" applyFont="0" applyFill="0" applyBorder="0" applyAlignment="0" applyProtection="0">
      <alignment vertical="center"/>
    </xf>
    <xf numFmtId="179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10" borderId="11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11" borderId="14" applyNumberFormat="0" applyAlignment="0" applyProtection="0">
      <alignment vertical="center"/>
    </xf>
    <xf numFmtId="0" fontId="6" fillId="12" borderId="7" applyNumberFormat="0" applyAlignment="0" applyProtection="0">
      <alignment vertical="center"/>
    </xf>
    <xf numFmtId="0" fontId="18" fillId="12" borderId="14" applyNumberFormat="0" applyAlignment="0" applyProtection="0">
      <alignment vertical="center"/>
    </xf>
    <xf numFmtId="0" fontId="19" fillId="13" borderId="15" applyNumberFormat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</cellStyleXfs>
  <cellXfs count="69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180" fontId="0" fillId="4" borderId="1" xfId="0" applyNumberFormat="1" applyFill="1" applyBorder="1" applyAlignment="1">
      <alignment horizontal="center" vertical="center"/>
    </xf>
    <xf numFmtId="181" fontId="0" fillId="0" borderId="0" xfId="0" applyNumberFormat="1" applyAlignment="1">
      <alignment vertical="center"/>
    </xf>
    <xf numFmtId="182" fontId="0" fillId="4" borderId="1" xfId="2" applyNumberFormat="1" applyFont="1" applyFill="1" applyBorder="1" applyAlignment="1">
      <alignment horizontal="center" vertical="center" wrapText="1"/>
    </xf>
    <xf numFmtId="182" fontId="0" fillId="0" borderId="1" xfId="2" applyNumberFormat="1" applyFont="1" applyFill="1" applyBorder="1" applyAlignment="1">
      <alignment horizontal="center" vertical="center" wrapText="1"/>
    </xf>
    <xf numFmtId="177" fontId="0" fillId="0" borderId="0" xfId="0" applyNumberFormat="1" applyAlignment="1">
      <alignment vertical="center"/>
    </xf>
    <xf numFmtId="0" fontId="0" fillId="0" borderId="1" xfId="0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10" fontId="0" fillId="4" borderId="1" xfId="3" applyNumberFormat="1" applyFont="1" applyFill="1" applyBorder="1" applyAlignment="1">
      <alignment horizontal="center" vertical="center"/>
    </xf>
    <xf numFmtId="0" fontId="0" fillId="4" borderId="1" xfId="2" applyNumberFormat="1" applyFont="1" applyFill="1" applyBorder="1" applyAlignment="1">
      <alignment horizontal="center" vertical="center" wrapText="1"/>
    </xf>
    <xf numFmtId="9" fontId="3" fillId="0" borderId="1" xfId="3" applyFont="1" applyFill="1" applyBorder="1" applyAlignment="1">
      <alignment horizontal="center" vertical="center"/>
    </xf>
    <xf numFmtId="9" fontId="0" fillId="0" borderId="1" xfId="3" applyFont="1" applyFill="1" applyBorder="1" applyAlignment="1">
      <alignment horizontal="center" vertical="center"/>
    </xf>
    <xf numFmtId="0" fontId="0" fillId="0" borderId="1" xfId="0" applyBorder="1" applyAlignment="1">
      <alignment vertical="center"/>
    </xf>
    <xf numFmtId="183" fontId="0" fillId="4" borderId="1" xfId="0" applyNumberFormat="1" applyFill="1" applyBorder="1" applyAlignment="1">
      <alignment horizontal="center" vertical="center"/>
    </xf>
    <xf numFmtId="1" fontId="0" fillId="4" borderId="1" xfId="0" applyNumberFormat="1" applyFill="1" applyBorder="1" applyAlignment="1">
      <alignment horizontal="center" vertical="center"/>
    </xf>
    <xf numFmtId="2" fontId="0" fillId="4" borderId="1" xfId="3" applyNumberFormat="1" applyFont="1" applyFill="1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182" fontId="0" fillId="0" borderId="0" xfId="0" applyNumberFormat="1" applyAlignment="1">
      <alignment horizontal="center" vertical="center"/>
    </xf>
    <xf numFmtId="184" fontId="3" fillId="0" borderId="1" xfId="0" applyNumberFormat="1" applyFont="1" applyBorder="1" applyAlignment="1">
      <alignment horizontal="center" vertical="center"/>
    </xf>
    <xf numFmtId="0" fontId="0" fillId="0" borderId="0" xfId="0" applyAlignment="1">
      <alignment vertical="center" wrapText="1"/>
    </xf>
    <xf numFmtId="184" fontId="0" fillId="0" borderId="1" xfId="0" applyNumberFormat="1" applyBorder="1" applyAlignment="1">
      <alignment horizontal="center" vertical="center"/>
    </xf>
    <xf numFmtId="1" fontId="0" fillId="0" borderId="1" xfId="2" applyNumberFormat="1" applyFont="1" applyFill="1" applyBorder="1" applyAlignment="1">
      <alignment horizontal="center" vertical="center" wrapText="1"/>
    </xf>
    <xf numFmtId="9" fontId="0" fillId="0" borderId="1" xfId="3" applyFont="1" applyFill="1" applyBorder="1" applyAlignment="1">
      <alignment horizontal="center" vertical="center" wrapText="1"/>
    </xf>
    <xf numFmtId="180" fontId="3" fillId="0" borderId="1" xfId="0" applyNumberFormat="1" applyFont="1" applyBorder="1" applyAlignment="1">
      <alignment horizontal="center" vertical="center"/>
    </xf>
    <xf numFmtId="180" fontId="0" fillId="0" borderId="1" xfId="2" applyNumberFormat="1" applyFont="1" applyFill="1" applyBorder="1" applyAlignment="1">
      <alignment horizontal="center" vertical="center" wrapText="1"/>
    </xf>
    <xf numFmtId="180" fontId="0" fillId="0" borderId="0" xfId="0" applyNumberFormat="1"/>
    <xf numFmtId="180" fontId="0" fillId="0" borderId="1" xfId="0" applyNumberFormat="1" applyBorder="1" applyAlignment="1">
      <alignment horizontal="center" vertical="center"/>
    </xf>
    <xf numFmtId="182" fontId="0" fillId="0" borderId="0" xfId="0" applyNumberFormat="1"/>
    <xf numFmtId="182" fontId="4" fillId="0" borderId="1" xfId="2" applyNumberFormat="1" applyFont="1" applyFill="1" applyBorder="1" applyAlignment="1">
      <alignment horizontal="center" vertical="center"/>
    </xf>
    <xf numFmtId="182" fontId="4" fillId="5" borderId="1" xfId="2" applyNumberFormat="1" applyFont="1" applyFill="1" applyBorder="1" applyAlignment="1">
      <alignment horizontal="center" vertical="center"/>
    </xf>
    <xf numFmtId="182" fontId="0" fillId="0" borderId="0" xfId="0" applyNumberFormat="1" applyAlignment="1">
      <alignment vertical="center"/>
    </xf>
    <xf numFmtId="0" fontId="2" fillId="0" borderId="0" xfId="0" applyFont="1" applyAlignment="1">
      <alignment horizontal="center" vertical="center"/>
    </xf>
    <xf numFmtId="0" fontId="5" fillId="6" borderId="0" xfId="0" applyFont="1" applyFill="1" applyAlignment="1">
      <alignment horizontal="center" vertical="center"/>
    </xf>
    <xf numFmtId="0" fontId="2" fillId="7" borderId="2" xfId="0" applyFont="1" applyFill="1" applyBorder="1" applyAlignment="1">
      <alignment horizontal="center" vertical="center"/>
    </xf>
    <xf numFmtId="0" fontId="2" fillId="7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185" fontId="0" fillId="0" borderId="2" xfId="0" applyNumberFormat="1" applyBorder="1" applyAlignment="1">
      <alignment horizontal="center" vertical="center"/>
    </xf>
    <xf numFmtId="9" fontId="0" fillId="0" borderId="2" xfId="3" applyFont="1" applyFill="1" applyBorder="1" applyAlignment="1">
      <alignment horizontal="center" vertical="center"/>
    </xf>
    <xf numFmtId="9" fontId="0" fillId="0" borderId="2" xfId="3" applyNumberFormat="1" applyFont="1" applyFill="1" applyBorder="1" applyAlignment="1">
      <alignment horizontal="center" vertical="center"/>
    </xf>
    <xf numFmtId="0" fontId="0" fillId="8" borderId="2" xfId="0" applyFill="1" applyBorder="1" applyAlignment="1">
      <alignment horizontal="center" vertical="center"/>
    </xf>
    <xf numFmtId="0" fontId="0" fillId="8" borderId="2" xfId="0" applyFill="1" applyBorder="1" applyAlignment="1">
      <alignment horizontal="center" vertical="center" wrapText="1"/>
    </xf>
    <xf numFmtId="185" fontId="0" fillId="8" borderId="2" xfId="0" applyNumberFormat="1" applyFill="1" applyBorder="1" applyAlignment="1">
      <alignment horizontal="center" vertical="center"/>
    </xf>
    <xf numFmtId="0" fontId="2" fillId="7" borderId="3" xfId="0" applyFont="1" applyFill="1" applyBorder="1" applyAlignment="1">
      <alignment horizontal="center" vertical="center"/>
    </xf>
    <xf numFmtId="0" fontId="2" fillId="7" borderId="4" xfId="0" applyFont="1" applyFill="1" applyBorder="1" applyAlignment="1">
      <alignment horizontal="center" vertical="center"/>
    </xf>
    <xf numFmtId="0" fontId="2" fillId="7" borderId="5" xfId="0" applyFont="1" applyFill="1" applyBorder="1" applyAlignment="1">
      <alignment horizontal="center" vertical="center"/>
    </xf>
    <xf numFmtId="185" fontId="2" fillId="7" borderId="6" xfId="0" applyNumberFormat="1" applyFont="1" applyFill="1" applyBorder="1" applyAlignment="1">
      <alignment horizontal="center" vertical="center"/>
    </xf>
    <xf numFmtId="0" fontId="2" fillId="7" borderId="6" xfId="0" applyFont="1" applyFill="1" applyBorder="1" applyAlignment="1">
      <alignment horizontal="center" vertical="center"/>
    </xf>
    <xf numFmtId="9" fontId="2" fillId="7" borderId="6" xfId="3" applyFont="1" applyFill="1" applyBorder="1" applyAlignment="1">
      <alignment horizontal="center" vertical="center"/>
    </xf>
    <xf numFmtId="0" fontId="6" fillId="0" borderId="7" xfId="17" applyFill="1" applyBorder="1" applyAlignment="1">
      <alignment horizontal="center" vertical="center"/>
    </xf>
    <xf numFmtId="185" fontId="6" fillId="0" borderId="7" xfId="17" applyNumberFormat="1" applyFill="1" applyBorder="1" applyAlignment="1">
      <alignment horizontal="center" vertical="center"/>
    </xf>
    <xf numFmtId="9" fontId="6" fillId="0" borderId="7" xfId="17" applyNumberFormat="1" applyFill="1" applyBorder="1" applyAlignment="1">
      <alignment horizontal="center" vertical="center"/>
    </xf>
    <xf numFmtId="0" fontId="7" fillId="0" borderId="0" xfId="0" applyFont="1" applyAlignment="1">
      <alignment horizontal="justify" vertical="center" wrapText="1"/>
    </xf>
    <xf numFmtId="0" fontId="0" fillId="0" borderId="2" xfId="0" applyFill="1" applyBorder="1" applyAlignment="1">
      <alignment horizontal="center" vertical="center"/>
    </xf>
    <xf numFmtId="177" fontId="0" fillId="0" borderId="2" xfId="0" applyNumberFormat="1" applyBorder="1" applyAlignment="1">
      <alignment horizontal="center" vertical="center"/>
    </xf>
    <xf numFmtId="177" fontId="0" fillId="8" borderId="2" xfId="0" applyNumberFormat="1" applyFill="1" applyBorder="1" applyAlignment="1">
      <alignment horizontal="center" vertical="center"/>
    </xf>
    <xf numFmtId="177" fontId="2" fillId="7" borderId="6" xfId="0" applyNumberFormat="1" applyFont="1" applyFill="1" applyBorder="1" applyAlignment="1">
      <alignment horizontal="center" vertical="center"/>
    </xf>
    <xf numFmtId="177" fontId="6" fillId="0" borderId="7" xfId="17" applyNumberFormat="1" applyFill="1" applyBorder="1" applyAlignment="1">
      <alignment horizontal="center" vertical="center"/>
    </xf>
    <xf numFmtId="0" fontId="0" fillId="9" borderId="2" xfId="0" applyFill="1" applyBorder="1" applyAlignment="1">
      <alignment horizontal="center" vertical="center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6" fillId="0" borderId="7" xfId="17" applyFill="1" applyAlignment="1">
      <alignment horizontal="center" vertical="center"/>
    </xf>
  </cellXfs>
  <cellStyles count="49">
    <cellStyle name="Normal" xfId="0" builtinId="0"/>
    <cellStyle name="Comma" xfId="1" builtinId="3"/>
    <cellStyle name="Moeda" xfId="2" builtinId="4"/>
    <cellStyle name="Porcentagem" xfId="3" builtinId="5"/>
    <cellStyle name="Comma [0]" xfId="4" builtinId="6"/>
    <cellStyle name="Moeda [0]" xfId="5" builtinId="7"/>
    <cellStyle name="Hyperlink" xfId="6" builtinId="8"/>
    <cellStyle name="Hyperlink seguido" xfId="7" builtinId="9"/>
    <cellStyle name="Observação" xfId="8" builtinId="10"/>
    <cellStyle name="Texto de Aviso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ída" xfId="17" builtinId="21"/>
    <cellStyle name="Cálculo" xfId="18" builtinId="22"/>
    <cellStyle name="Célula de Verificação" xfId="19" builtinId="23"/>
    <cellStyle name="Célula Vinculada" xfId="20" builtinId="24"/>
    <cellStyle name="Total" xfId="21" builtinId="25"/>
    <cellStyle name="Bom" xfId="22" builtinId="26"/>
    <cellStyle name="Ruim" xfId="23" builtinId="27"/>
    <cellStyle name="Neutro" xfId="24" builtinId="28"/>
    <cellStyle name="Ênfase 1" xfId="25" builtinId="29"/>
    <cellStyle name="20% - Ênfase 1" xfId="26" builtinId="30"/>
    <cellStyle name="40% - Ênfase 1" xfId="27" builtinId="31"/>
    <cellStyle name="60% - Ênfase 1" xfId="28" builtinId="32"/>
    <cellStyle name="Ênfase 2" xfId="29" builtinId="33"/>
    <cellStyle name="20% - Ênfase 2" xfId="30" builtinId="34"/>
    <cellStyle name="40% - Ênfase 2" xfId="31" builtinId="35"/>
    <cellStyle name="60% - Ênfase 2" xfId="32" builtinId="36"/>
    <cellStyle name="Ênfase 3" xfId="33" builtinId="37"/>
    <cellStyle name="20% - Ênfase 3" xfId="34" builtinId="38"/>
    <cellStyle name="40% - Ênfase 3" xfId="35" builtinId="39"/>
    <cellStyle name="60% - Ênfase 3" xfId="36" builtinId="40"/>
    <cellStyle name="Ênfase 4" xfId="37" builtinId="41"/>
    <cellStyle name="20% - Ênfase 4" xfId="38" builtinId="42"/>
    <cellStyle name="40% - Ênfase 4" xfId="39" builtinId="43"/>
    <cellStyle name="60% - Ênfase 4" xfId="40" builtinId="44"/>
    <cellStyle name="Ênfase 5" xfId="41" builtinId="45"/>
    <cellStyle name="20% - Ênfase 5" xfId="42" builtinId="46"/>
    <cellStyle name="40% - Ênfase 5" xfId="43" builtinId="47"/>
    <cellStyle name="60% - Ênfase 5" xfId="44" builtinId="48"/>
    <cellStyle name="Ênfase 6" xfId="45" builtinId="49"/>
    <cellStyle name="20% - Ênfase 6" xfId="46" builtinId="50"/>
    <cellStyle name="40% - Ênfase 6" xfId="47" builtinId="51"/>
    <cellStyle name="60% - Ênfase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273050</xdr:colOff>
      <xdr:row>0</xdr:row>
      <xdr:rowOff>163830</xdr:rowOff>
    </xdr:from>
    <xdr:to>
      <xdr:col>1</xdr:col>
      <xdr:colOff>372383</xdr:colOff>
      <xdr:row>4</xdr:row>
      <xdr:rowOff>110218</xdr:rowOff>
    </xdr:to>
    <xdr:pic>
      <xdr:nvPicPr>
        <xdr:cNvPr id="2" name="Logo_SEDU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86" t="2934" r="3410" b="4372"/>
        <a:stretch>
          <a:fillRect/>
        </a:stretch>
      </xdr:blipFill>
      <xdr:spPr>
        <a:xfrm>
          <a:off x="273050" y="163830"/>
          <a:ext cx="746760" cy="708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1153160</xdr:colOff>
      <xdr:row>1</xdr:row>
      <xdr:rowOff>41275</xdr:rowOff>
    </xdr:from>
    <xdr:to>
      <xdr:col>20</xdr:col>
      <xdr:colOff>833119</xdr:colOff>
      <xdr:row>4</xdr:row>
      <xdr:rowOff>190459</xdr:rowOff>
    </xdr:to>
    <xdr:pic>
      <xdr:nvPicPr>
        <xdr:cNvPr id="3" name="Logo_onibus"/>
        <xdr:cNvPicPr>
          <a:picLocks noChangeAspect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003"/>
        <a:stretch>
          <a:fillRect/>
        </a:stretch>
      </xdr:blipFill>
      <xdr:spPr>
        <a:xfrm>
          <a:off x="18145125" y="231775"/>
          <a:ext cx="860425" cy="720090"/>
        </a:xfrm>
        <a:prstGeom prst="rect">
          <a:avLst/>
        </a:prstGeom>
      </xdr:spPr>
    </xdr:pic>
    <xdr:clientData/>
  </xdr:twoCellAnchor>
  <xdr:twoCellAnchor>
    <xdr:from>
      <xdr:col>1</xdr:col>
      <xdr:colOff>584200</xdr:colOff>
      <xdr:row>0</xdr:row>
      <xdr:rowOff>168275</xdr:rowOff>
    </xdr:from>
    <xdr:to>
      <xdr:col>2</xdr:col>
      <xdr:colOff>141605</xdr:colOff>
      <xdr:row>4</xdr:row>
      <xdr:rowOff>146050</xdr:rowOff>
    </xdr:to>
    <xdr:pic>
      <xdr:nvPicPr>
        <xdr:cNvPr id="4" name="Imagem 8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116" t="-116" r="-116" b="-116"/>
        <a:stretch>
          <a:fillRect/>
        </a:stretch>
      </xdr:blipFill>
      <xdr:spPr>
        <a:xfrm>
          <a:off x="1231900" y="168275"/>
          <a:ext cx="738505" cy="739775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280670</xdr:colOff>
      <xdr:row>0</xdr:row>
      <xdr:rowOff>191135</xdr:rowOff>
    </xdr:from>
    <xdr:to>
      <xdr:col>1</xdr:col>
      <xdr:colOff>379730</xdr:colOff>
      <xdr:row>4</xdr:row>
      <xdr:rowOff>137160</xdr:rowOff>
    </xdr:to>
    <xdr:pic>
      <xdr:nvPicPr>
        <xdr:cNvPr id="2" name="Logo_SEDU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86" t="2934" r="3410" b="4372"/>
        <a:stretch>
          <a:fillRect/>
        </a:stretch>
      </xdr:blipFill>
      <xdr:spPr>
        <a:xfrm>
          <a:off x="280670" y="190500"/>
          <a:ext cx="746760" cy="7086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20</xdr:col>
      <xdr:colOff>60325</xdr:colOff>
      <xdr:row>1</xdr:row>
      <xdr:rowOff>22860</xdr:rowOff>
    </xdr:from>
    <xdr:to>
      <xdr:col>20</xdr:col>
      <xdr:colOff>920750</xdr:colOff>
      <xdr:row>4</xdr:row>
      <xdr:rowOff>171450</xdr:rowOff>
    </xdr:to>
    <xdr:pic>
      <xdr:nvPicPr>
        <xdr:cNvPr id="3" name="Logo_onibus"/>
        <xdr:cNvPicPr>
          <a:picLocks noChangeAspect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003"/>
        <a:stretch>
          <a:fillRect/>
        </a:stretch>
      </xdr:blipFill>
      <xdr:spPr>
        <a:xfrm>
          <a:off x="18233390" y="213360"/>
          <a:ext cx="860425" cy="720090"/>
        </a:xfrm>
        <a:prstGeom prst="rect">
          <a:avLst/>
        </a:prstGeom>
      </xdr:spPr>
    </xdr:pic>
    <xdr:clientData/>
  </xdr:twoCellAnchor>
  <xdr:twoCellAnchor>
    <xdr:from>
      <xdr:col>1</xdr:col>
      <xdr:colOff>631190</xdr:colOff>
      <xdr:row>1</xdr:row>
      <xdr:rowOff>1905</xdr:rowOff>
    </xdr:from>
    <xdr:to>
      <xdr:col>2</xdr:col>
      <xdr:colOff>188595</xdr:colOff>
      <xdr:row>4</xdr:row>
      <xdr:rowOff>170180</xdr:rowOff>
    </xdr:to>
    <xdr:pic>
      <xdr:nvPicPr>
        <xdr:cNvPr id="4" name="Imagem 8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116" t="-116" r="-116" b="-116"/>
        <a:stretch>
          <a:fillRect/>
        </a:stretch>
      </xdr:blipFill>
      <xdr:spPr>
        <a:xfrm>
          <a:off x="1278890" y="192405"/>
          <a:ext cx="738505" cy="739775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259080</xdr:colOff>
      <xdr:row>1</xdr:row>
      <xdr:rowOff>41910</xdr:rowOff>
    </xdr:from>
    <xdr:to>
      <xdr:col>1</xdr:col>
      <xdr:colOff>358140</xdr:colOff>
      <xdr:row>4</xdr:row>
      <xdr:rowOff>178435</xdr:rowOff>
    </xdr:to>
    <xdr:pic>
      <xdr:nvPicPr>
        <xdr:cNvPr id="2" name="Logo_SEDU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86" t="2934" r="3410" b="4372"/>
        <a:stretch>
          <a:fillRect/>
        </a:stretch>
      </xdr:blipFill>
      <xdr:spPr>
        <a:xfrm>
          <a:off x="259080" y="232410"/>
          <a:ext cx="746760" cy="708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20</xdr:col>
      <xdr:colOff>0</xdr:colOff>
      <xdr:row>0</xdr:row>
      <xdr:rowOff>0</xdr:rowOff>
    </xdr:from>
    <xdr:to>
      <xdr:col>20</xdr:col>
      <xdr:colOff>860425</xdr:colOff>
      <xdr:row>3</xdr:row>
      <xdr:rowOff>148590</xdr:rowOff>
    </xdr:to>
    <xdr:pic>
      <xdr:nvPicPr>
        <xdr:cNvPr id="3" name="Logo_onibus"/>
        <xdr:cNvPicPr>
          <a:picLocks noChangeAspect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003"/>
        <a:stretch>
          <a:fillRect/>
        </a:stretch>
      </xdr:blipFill>
      <xdr:spPr>
        <a:xfrm>
          <a:off x="18173065" y="0"/>
          <a:ext cx="860425" cy="720090"/>
        </a:xfrm>
        <a:prstGeom prst="rect">
          <a:avLst/>
        </a:prstGeom>
      </xdr:spPr>
    </xdr:pic>
    <xdr:clientData/>
  </xdr:twoCellAnchor>
  <xdr:twoCellAnchor>
    <xdr:from>
      <xdr:col>1</xdr:col>
      <xdr:colOff>520065</xdr:colOff>
      <xdr:row>1</xdr:row>
      <xdr:rowOff>0</xdr:rowOff>
    </xdr:from>
    <xdr:to>
      <xdr:col>2</xdr:col>
      <xdr:colOff>77470</xdr:colOff>
      <xdr:row>4</xdr:row>
      <xdr:rowOff>168275</xdr:rowOff>
    </xdr:to>
    <xdr:pic>
      <xdr:nvPicPr>
        <xdr:cNvPr id="4" name="Imagem 8"/>
        <xdr:cNvPicPr>
          <a:picLocks noChangeAspect="1" noChangeArrowheads="1"/>
        </xdr:cNvPicPr>
      </xdr:nvPicPr>
      <xdr:blipFill>
        <a:blip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116" t="-116" r="-116" b="-116"/>
        <a:stretch>
          <a:fillRect/>
        </a:stretch>
      </xdr:blipFill>
      <xdr:spPr>
        <a:xfrm>
          <a:off x="1167765" y="190500"/>
          <a:ext cx="738505" cy="739775"/>
        </a:xfrm>
        <a:prstGeom prst="rect">
          <a:avLst/>
        </a:prstGeom>
        <a:solidFill>
          <a:srgbClr val="FFFFFF">
            <a:alpha val="0"/>
          </a:srgbClr>
        </a:solidFill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34"/>
  <sheetViews>
    <sheetView showGridLines="0" view="pageBreakPreview" zoomScale="85" zoomScaleNormal="80" workbookViewId="0">
      <selection activeCell="L41" sqref="L41"/>
    </sheetView>
  </sheetViews>
  <sheetFormatPr defaultColWidth="9" defaultRowHeight="15"/>
  <cols>
    <col min="1" max="1" width="9.71428571428571" style="1" customWidth="1"/>
    <col min="2" max="2" width="17.7142857142857" style="1" customWidth="1"/>
    <col min="3" max="4" width="15.7142857142857" style="1" customWidth="1"/>
    <col min="5" max="5" width="14.7142857142857" style="1" customWidth="1"/>
    <col min="6" max="6" width="12.7142857142857" style="1" customWidth="1"/>
    <col min="7" max="7" width="13.7142857142857" style="1" customWidth="1"/>
    <col min="8" max="8" width="9" style="1" hidden="1" customWidth="1"/>
    <col min="9" max="15" width="13.7142857142857" style="1" customWidth="1"/>
    <col min="16" max="16" width="15.8857142857143" style="1" customWidth="1"/>
    <col min="17" max="18" width="13.7142857142857" style="1" customWidth="1"/>
    <col min="19" max="19" width="15.5333333333333" style="1" customWidth="1"/>
    <col min="20" max="21" width="17.7142857142857" style="1" customWidth="1"/>
    <col min="22" max="22" width="14.2857142857143" style="1" customWidth="1"/>
    <col min="23" max="23" width="10.2857142857143" style="1" customWidth="1"/>
    <col min="24" max="24" width="9.85714285714286" style="1" customWidth="1"/>
    <col min="25" max="25" width="12.7142857142857" style="1" customWidth="1"/>
    <col min="26" max="16384" width="9.14285714285714" style="1"/>
  </cols>
  <sheetData>
    <row r="1" spans="1:25">
      <c r="A1" s="37" t="s">
        <v>0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7"/>
      <c r="P1" s="37"/>
      <c r="Q1" s="37"/>
      <c r="R1" s="37"/>
      <c r="S1" s="37"/>
      <c r="T1" s="37"/>
      <c r="U1" s="37"/>
      <c r="V1" s="64" t="s">
        <v>1</v>
      </c>
      <c r="W1" s="64" t="s">
        <v>2</v>
      </c>
      <c r="X1" s="64" t="s">
        <v>3</v>
      </c>
      <c r="Y1" s="64" t="s">
        <v>4</v>
      </c>
    </row>
    <row r="2" spans="1:25">
      <c r="A2" s="37" t="s">
        <v>5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41">
        <v>5</v>
      </c>
      <c r="W2" s="41">
        <v>205</v>
      </c>
      <c r="X2" s="41">
        <v>11</v>
      </c>
      <c r="Y2" s="41" t="s">
        <v>6</v>
      </c>
    </row>
    <row r="3" spans="1:25">
      <c r="A3" s="37" t="s">
        <v>7</v>
      </c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Q3" s="37"/>
      <c r="R3" s="37"/>
      <c r="S3" s="37"/>
      <c r="T3" s="37"/>
      <c r="U3" s="37"/>
      <c r="V3" s="41">
        <v>4</v>
      </c>
      <c r="W3" s="41">
        <f>ROUNDUP(W2/V2*V3,0)</f>
        <v>164</v>
      </c>
      <c r="X3" s="41">
        <v>8</v>
      </c>
      <c r="Y3" s="41"/>
    </row>
    <row r="4" spans="1:25">
      <c r="A4" s="37" t="s">
        <v>8</v>
      </c>
      <c r="B4" s="37"/>
      <c r="C4" s="37"/>
      <c r="D4" s="37"/>
      <c r="E4" s="37"/>
      <c r="F4" s="37"/>
      <c r="G4" s="37"/>
      <c r="H4" s="37"/>
      <c r="I4" s="37"/>
      <c r="J4" s="37"/>
      <c r="K4" s="37"/>
      <c r="L4" s="37"/>
      <c r="M4" s="37"/>
      <c r="N4" s="37"/>
      <c r="O4" s="37"/>
      <c r="P4" s="37"/>
      <c r="Q4" s="37"/>
      <c r="R4" s="37"/>
      <c r="S4" s="37"/>
      <c r="T4" s="37"/>
      <c r="U4" s="37"/>
      <c r="V4" s="41">
        <v>3</v>
      </c>
      <c r="W4" s="41">
        <f>ROUNDUP(W2/V2*V4,0)</f>
        <v>123</v>
      </c>
      <c r="X4" s="41">
        <v>8</v>
      </c>
      <c r="Y4" s="41"/>
    </row>
    <row r="5" spans="1:25">
      <c r="A5" s="37" t="s">
        <v>9</v>
      </c>
      <c r="B5" s="37"/>
      <c r="C5" s="37"/>
      <c r="D5" s="37"/>
      <c r="E5" s="37"/>
      <c r="F5" s="37"/>
      <c r="G5" s="37"/>
      <c r="H5" s="37"/>
      <c r="I5" s="37"/>
      <c r="J5" s="37"/>
      <c r="K5" s="37"/>
      <c r="L5" s="37"/>
      <c r="M5" s="37"/>
      <c r="N5" s="37"/>
      <c r="O5" s="37"/>
      <c r="P5" s="37"/>
      <c r="Q5" s="37"/>
      <c r="R5" s="37"/>
      <c r="S5" s="37"/>
      <c r="T5" s="37"/>
      <c r="U5" s="37"/>
      <c r="V5" s="41">
        <v>2</v>
      </c>
      <c r="W5" s="41">
        <f>ROUNDUP(W2/V2*V5,0)</f>
        <v>82</v>
      </c>
      <c r="X5" s="41">
        <v>8</v>
      </c>
      <c r="Y5" s="41" t="s">
        <v>10</v>
      </c>
    </row>
    <row r="6" ht="14.25" customHeight="1" spans="1:25">
      <c r="A6" s="37"/>
      <c r="B6" s="37"/>
      <c r="C6" s="37"/>
      <c r="D6" s="37"/>
      <c r="E6" s="37"/>
      <c r="F6" s="37"/>
      <c r="G6" s="37"/>
      <c r="H6" s="37"/>
      <c r="I6" s="37"/>
      <c r="J6" s="37"/>
      <c r="K6" s="37"/>
      <c r="L6" s="37"/>
      <c r="M6" s="37"/>
      <c r="N6" s="37"/>
      <c r="O6" s="37"/>
      <c r="P6" s="37"/>
      <c r="Q6" s="37"/>
      <c r="R6" s="37"/>
      <c r="S6" s="37"/>
      <c r="T6" s="37"/>
      <c r="U6" s="37"/>
      <c r="V6" s="41">
        <v>1</v>
      </c>
      <c r="W6" s="41">
        <f>ROUNDUP(W2/V2*V6,0)</f>
        <v>41</v>
      </c>
      <c r="X6" s="41">
        <v>8</v>
      </c>
      <c r="Y6" s="41"/>
    </row>
    <row r="7" ht="31.5" spans="1:21">
      <c r="A7" s="38" t="s">
        <v>11</v>
      </c>
      <c r="B7" s="38"/>
      <c r="C7" s="38"/>
      <c r="D7" s="38"/>
      <c r="E7" s="38"/>
      <c r="F7" s="38"/>
      <c r="G7" s="38"/>
      <c r="H7" s="38"/>
      <c r="I7" s="38"/>
      <c r="J7" s="38"/>
      <c r="K7" s="38"/>
      <c r="L7" s="38"/>
      <c r="M7" s="38"/>
      <c r="N7" s="38"/>
      <c r="O7" s="38"/>
      <c r="P7" s="38"/>
      <c r="Q7" s="38"/>
      <c r="R7" s="38"/>
      <c r="S7" s="38"/>
      <c r="T7" s="38"/>
      <c r="U7" s="38"/>
    </row>
    <row r="8" spans="1:21">
      <c r="A8" s="37"/>
      <c r="B8" s="37"/>
      <c r="C8" s="37"/>
      <c r="D8" s="37"/>
      <c r="E8" s="37"/>
      <c r="F8" s="37"/>
      <c r="G8" s="37"/>
      <c r="H8" s="37"/>
      <c r="I8" s="37"/>
      <c r="J8" s="37"/>
      <c r="K8" s="37"/>
      <c r="L8" s="37"/>
      <c r="M8" s="37"/>
      <c r="N8" s="37"/>
      <c r="O8" s="37"/>
      <c r="P8" s="37"/>
      <c r="Q8" s="37"/>
      <c r="R8" s="37"/>
      <c r="S8" s="37"/>
      <c r="T8" s="37"/>
      <c r="U8" s="37"/>
    </row>
    <row r="9" ht="45" customHeight="1" spans="1:21">
      <c r="A9" s="39" t="s">
        <v>12</v>
      </c>
      <c r="B9" s="40" t="s">
        <v>13</v>
      </c>
      <c r="C9" s="39" t="s">
        <v>14</v>
      </c>
      <c r="D9" s="40" t="s">
        <v>15</v>
      </c>
      <c r="E9" s="40" t="s">
        <v>16</v>
      </c>
      <c r="F9" s="39" t="s">
        <v>17</v>
      </c>
      <c r="G9" s="39" t="s">
        <v>18</v>
      </c>
      <c r="H9" s="39" t="s">
        <v>19</v>
      </c>
      <c r="I9" s="39" t="s">
        <v>20</v>
      </c>
      <c r="J9" s="39" t="s">
        <v>21</v>
      </c>
      <c r="K9" s="39" t="s">
        <v>22</v>
      </c>
      <c r="L9" s="39" t="s">
        <v>23</v>
      </c>
      <c r="M9" s="40" t="s">
        <v>24</v>
      </c>
      <c r="N9" s="40" t="s">
        <v>25</v>
      </c>
      <c r="O9" s="40" t="s">
        <v>26</v>
      </c>
      <c r="P9" s="39" t="s">
        <v>27</v>
      </c>
      <c r="Q9" s="40" t="s">
        <v>28</v>
      </c>
      <c r="R9" s="40" t="s">
        <v>29</v>
      </c>
      <c r="S9" s="40" t="s">
        <v>30</v>
      </c>
      <c r="T9" s="40" t="s">
        <v>31</v>
      </c>
      <c r="U9" s="40" t="s">
        <v>32</v>
      </c>
    </row>
    <row r="10" ht="30" spans="1:21">
      <c r="A10" s="41">
        <v>1</v>
      </c>
      <c r="B10" s="42" t="s">
        <v>33</v>
      </c>
      <c r="C10" s="41" t="s">
        <v>34</v>
      </c>
      <c r="D10" s="43" t="s">
        <v>35</v>
      </c>
      <c r="E10" s="41">
        <v>5</v>
      </c>
      <c r="F10" s="41" t="s">
        <v>36</v>
      </c>
      <c r="G10" s="44">
        <v>0.05</v>
      </c>
      <c r="H10" s="44">
        <v>0</v>
      </c>
      <c r="I10" s="44">
        <v>0.95</v>
      </c>
      <c r="J10" s="59">
        <v>108.7</v>
      </c>
      <c r="K10" s="59">
        <f t="shared" ref="K10:K31" si="0">ROUND(J10*G10,1)</f>
        <v>5.4</v>
      </c>
      <c r="L10" s="59">
        <f t="shared" ref="L10:L31" si="1">ROUND(J10-K10,1)</f>
        <v>103.3</v>
      </c>
      <c r="M10" s="41">
        <v>0</v>
      </c>
      <c r="N10" s="41">
        <v>23</v>
      </c>
      <c r="O10" s="41">
        <f t="shared" ref="O10:O31" si="2">ROUND(M10+N10,0)</f>
        <v>23</v>
      </c>
      <c r="P10" s="60">
        <v>8762.2625</v>
      </c>
      <c r="Q10" s="60">
        <v>2.67</v>
      </c>
      <c r="R10" s="60">
        <v>3.6</v>
      </c>
      <c r="S10" s="60">
        <f t="shared" ref="S10:S31" si="3">ROUND(U10*M10/O10,2)</f>
        <v>0</v>
      </c>
      <c r="T10" s="60">
        <f t="shared" ref="T10:T31" si="4">ROUND(U10-S10,2)</f>
        <v>175575.98</v>
      </c>
      <c r="U10" s="60">
        <f t="shared" ref="U10:U31" si="5">(P10*VLOOKUP(E10,$V$2:$X$6,3,FALSE))+(K10*Q10*VLOOKUP(E10,$V$2:$X$6,2,FALSE))+(R10*L10*VLOOKUP(E10,$V$2:$X$6,2,FALSE))</f>
        <v>175575.9775</v>
      </c>
    </row>
    <row r="11" ht="30" spans="1:21">
      <c r="A11" s="41">
        <v>2</v>
      </c>
      <c r="B11" s="42" t="s">
        <v>37</v>
      </c>
      <c r="C11" s="41" t="s">
        <v>34</v>
      </c>
      <c r="D11" s="43" t="s">
        <v>35</v>
      </c>
      <c r="E11" s="41">
        <v>5</v>
      </c>
      <c r="F11" s="41" t="s">
        <v>36</v>
      </c>
      <c r="G11" s="45">
        <v>0.06</v>
      </c>
      <c r="H11" s="44">
        <v>0</v>
      </c>
      <c r="I11" s="45">
        <v>0.94</v>
      </c>
      <c r="J11" s="59">
        <v>86.1</v>
      </c>
      <c r="K11" s="59">
        <f t="shared" si="0"/>
        <v>5.2</v>
      </c>
      <c r="L11" s="59">
        <f t="shared" si="1"/>
        <v>80.9</v>
      </c>
      <c r="M11" s="41">
        <v>0</v>
      </c>
      <c r="N11" s="41">
        <v>26</v>
      </c>
      <c r="O11" s="41">
        <f t="shared" si="2"/>
        <v>26</v>
      </c>
      <c r="P11" s="60">
        <v>8762.2625</v>
      </c>
      <c r="Q11" s="60">
        <v>2.67</v>
      </c>
      <c r="R11" s="60">
        <v>3.6</v>
      </c>
      <c r="S11" s="60">
        <f t="shared" si="3"/>
        <v>0</v>
      </c>
      <c r="T11" s="60">
        <f t="shared" si="4"/>
        <v>158935.31</v>
      </c>
      <c r="U11" s="60">
        <f t="shared" si="5"/>
        <v>158935.3075</v>
      </c>
    </row>
    <row r="12" ht="30" spans="1:21">
      <c r="A12" s="41">
        <v>3</v>
      </c>
      <c r="B12" s="42" t="s">
        <v>38</v>
      </c>
      <c r="C12" s="41" t="s">
        <v>34</v>
      </c>
      <c r="D12" s="43" t="s">
        <v>35</v>
      </c>
      <c r="E12" s="41">
        <v>5</v>
      </c>
      <c r="F12" s="41" t="s">
        <v>36</v>
      </c>
      <c r="G12" s="45">
        <v>0.07</v>
      </c>
      <c r="H12" s="44">
        <v>0</v>
      </c>
      <c r="I12" s="45">
        <v>0.93</v>
      </c>
      <c r="J12" s="59">
        <v>74.8</v>
      </c>
      <c r="K12" s="59">
        <f t="shared" si="0"/>
        <v>5.2</v>
      </c>
      <c r="L12" s="59">
        <f t="shared" si="1"/>
        <v>69.6</v>
      </c>
      <c r="M12" s="41">
        <v>0</v>
      </c>
      <c r="N12" s="41">
        <v>25</v>
      </c>
      <c r="O12" s="41">
        <f t="shared" si="2"/>
        <v>25</v>
      </c>
      <c r="P12" s="60">
        <v>8762.2625</v>
      </c>
      <c r="Q12" s="60">
        <v>2.67</v>
      </c>
      <c r="R12" s="60">
        <v>3.6</v>
      </c>
      <c r="S12" s="60">
        <f t="shared" si="3"/>
        <v>0</v>
      </c>
      <c r="T12" s="60">
        <f t="shared" si="4"/>
        <v>150595.91</v>
      </c>
      <c r="U12" s="60">
        <f t="shared" si="5"/>
        <v>150595.9075</v>
      </c>
    </row>
    <row r="13" ht="30" spans="1:21">
      <c r="A13" s="41">
        <v>4</v>
      </c>
      <c r="B13" s="42" t="s">
        <v>39</v>
      </c>
      <c r="C13" s="41" t="s">
        <v>34</v>
      </c>
      <c r="D13" s="43" t="s">
        <v>35</v>
      </c>
      <c r="E13" s="41">
        <v>5</v>
      </c>
      <c r="F13" s="41" t="s">
        <v>36</v>
      </c>
      <c r="G13" s="44">
        <v>0.3</v>
      </c>
      <c r="H13" s="44">
        <v>0</v>
      </c>
      <c r="I13" s="44">
        <v>0.7</v>
      </c>
      <c r="J13" s="59">
        <v>84.6</v>
      </c>
      <c r="K13" s="59">
        <f t="shared" si="0"/>
        <v>25.4</v>
      </c>
      <c r="L13" s="59">
        <f t="shared" si="1"/>
        <v>59.2</v>
      </c>
      <c r="M13" s="41">
        <v>0</v>
      </c>
      <c r="N13" s="41">
        <v>24</v>
      </c>
      <c r="O13" s="41">
        <f t="shared" si="2"/>
        <v>24</v>
      </c>
      <c r="P13" s="60">
        <v>8762.2625</v>
      </c>
      <c r="Q13" s="60">
        <v>2.67</v>
      </c>
      <c r="R13" s="60">
        <v>3.6</v>
      </c>
      <c r="S13" s="60">
        <f t="shared" si="3"/>
        <v>0</v>
      </c>
      <c r="T13" s="60">
        <f t="shared" si="4"/>
        <v>153977.18</v>
      </c>
      <c r="U13" s="60">
        <f t="shared" si="5"/>
        <v>153977.1775</v>
      </c>
    </row>
    <row r="14" ht="30" spans="1:21">
      <c r="A14" s="41">
        <v>5</v>
      </c>
      <c r="B14" s="42" t="s">
        <v>40</v>
      </c>
      <c r="C14" s="41" t="s">
        <v>34</v>
      </c>
      <c r="D14" s="43" t="s">
        <v>35</v>
      </c>
      <c r="E14" s="41">
        <v>5</v>
      </c>
      <c r="F14" s="41" t="s">
        <v>36</v>
      </c>
      <c r="G14" s="45">
        <v>0.06</v>
      </c>
      <c r="H14" s="44">
        <v>0</v>
      </c>
      <c r="I14" s="45">
        <v>0.94</v>
      </c>
      <c r="J14" s="59">
        <v>90.8</v>
      </c>
      <c r="K14" s="59">
        <f t="shared" si="0"/>
        <v>5.4</v>
      </c>
      <c r="L14" s="59">
        <f t="shared" si="1"/>
        <v>85.4</v>
      </c>
      <c r="M14" s="41">
        <v>0</v>
      </c>
      <c r="N14" s="41">
        <v>27</v>
      </c>
      <c r="O14" s="41">
        <f t="shared" si="2"/>
        <v>27</v>
      </c>
      <c r="P14" s="60">
        <v>8762.2625</v>
      </c>
      <c r="Q14" s="60">
        <v>2.67</v>
      </c>
      <c r="R14" s="60">
        <v>3.6</v>
      </c>
      <c r="S14" s="60">
        <f t="shared" si="3"/>
        <v>0</v>
      </c>
      <c r="T14" s="60">
        <f t="shared" si="4"/>
        <v>162365.78</v>
      </c>
      <c r="U14" s="60">
        <f t="shared" si="5"/>
        <v>162365.7775</v>
      </c>
    </row>
    <row r="15" ht="30" spans="1:21">
      <c r="A15" s="41">
        <v>6</v>
      </c>
      <c r="B15" s="42" t="s">
        <v>41</v>
      </c>
      <c r="C15" s="41" t="s">
        <v>34</v>
      </c>
      <c r="D15" s="43" t="s">
        <v>35</v>
      </c>
      <c r="E15" s="41">
        <v>5</v>
      </c>
      <c r="F15" s="41" t="s">
        <v>36</v>
      </c>
      <c r="G15" s="45">
        <v>0.25</v>
      </c>
      <c r="H15" s="44">
        <v>0</v>
      </c>
      <c r="I15" s="45">
        <v>0.75</v>
      </c>
      <c r="J15" s="59">
        <v>131.6</v>
      </c>
      <c r="K15" s="59">
        <f t="shared" si="0"/>
        <v>32.9</v>
      </c>
      <c r="L15" s="59">
        <f t="shared" si="1"/>
        <v>98.7</v>
      </c>
      <c r="M15" s="41">
        <v>0</v>
      </c>
      <c r="N15" s="41">
        <v>23</v>
      </c>
      <c r="O15" s="41">
        <f t="shared" si="2"/>
        <v>23</v>
      </c>
      <c r="P15" s="60">
        <v>8762.2625</v>
      </c>
      <c r="Q15" s="60">
        <v>2.67</v>
      </c>
      <c r="R15" s="60">
        <v>3.6</v>
      </c>
      <c r="S15" s="60">
        <f t="shared" si="3"/>
        <v>0</v>
      </c>
      <c r="T15" s="60">
        <f t="shared" si="4"/>
        <v>187233.3</v>
      </c>
      <c r="U15" s="60">
        <f t="shared" si="5"/>
        <v>187233.3025</v>
      </c>
    </row>
    <row r="16" ht="30" spans="1:21">
      <c r="A16" s="41">
        <v>7</v>
      </c>
      <c r="B16" s="42" t="s">
        <v>42</v>
      </c>
      <c r="C16" s="41" t="s">
        <v>34</v>
      </c>
      <c r="D16" s="43" t="s">
        <v>35</v>
      </c>
      <c r="E16" s="41">
        <v>5</v>
      </c>
      <c r="F16" s="41" t="s">
        <v>36</v>
      </c>
      <c r="G16" s="44">
        <v>0.07</v>
      </c>
      <c r="H16" s="44">
        <v>0</v>
      </c>
      <c r="I16" s="44">
        <v>0.93</v>
      </c>
      <c r="J16" s="59">
        <v>90.2</v>
      </c>
      <c r="K16" s="59">
        <f t="shared" si="0"/>
        <v>6.3</v>
      </c>
      <c r="L16" s="59">
        <f t="shared" si="1"/>
        <v>83.9</v>
      </c>
      <c r="M16" s="41">
        <v>0</v>
      </c>
      <c r="N16" s="41">
        <v>20</v>
      </c>
      <c r="O16" s="41">
        <f t="shared" si="2"/>
        <v>20</v>
      </c>
      <c r="P16" s="60">
        <v>8762.2625</v>
      </c>
      <c r="Q16" s="60">
        <v>2.67</v>
      </c>
      <c r="R16" s="60">
        <v>3.6</v>
      </c>
      <c r="S16" s="60">
        <f t="shared" si="3"/>
        <v>0</v>
      </c>
      <c r="T16" s="60">
        <f t="shared" si="4"/>
        <v>161751.39</v>
      </c>
      <c r="U16" s="60">
        <f t="shared" si="5"/>
        <v>161751.3925</v>
      </c>
    </row>
    <row r="17" ht="36" customHeight="1" spans="1:21">
      <c r="A17" s="46">
        <v>8</v>
      </c>
      <c r="B17" s="47" t="s">
        <v>43</v>
      </c>
      <c r="C17" s="47" t="s">
        <v>44</v>
      </c>
      <c r="D17" s="48" t="s">
        <v>35</v>
      </c>
      <c r="E17" s="46">
        <v>5</v>
      </c>
      <c r="F17" s="46" t="s">
        <v>36</v>
      </c>
      <c r="G17" s="45">
        <v>0.1</v>
      </c>
      <c r="H17" s="44">
        <v>0</v>
      </c>
      <c r="I17" s="45">
        <v>0.9</v>
      </c>
      <c r="J17" s="59">
        <v>134.8</v>
      </c>
      <c r="K17" s="59">
        <f t="shared" si="0"/>
        <v>13.5</v>
      </c>
      <c r="L17" s="59">
        <f t="shared" si="1"/>
        <v>121.3</v>
      </c>
      <c r="M17" s="46">
        <v>0</v>
      </c>
      <c r="N17" s="46">
        <v>19</v>
      </c>
      <c r="O17" s="46">
        <f t="shared" si="2"/>
        <v>19</v>
      </c>
      <c r="P17" s="61">
        <v>8904.51</v>
      </c>
      <c r="Q17" s="61">
        <v>2.74</v>
      </c>
      <c r="R17" s="61">
        <v>3.7</v>
      </c>
      <c r="S17" s="61">
        <f t="shared" si="3"/>
        <v>0</v>
      </c>
      <c r="T17" s="61">
        <f t="shared" si="4"/>
        <v>197538.61</v>
      </c>
      <c r="U17" s="61">
        <f t="shared" si="5"/>
        <v>197538.61</v>
      </c>
    </row>
    <row r="18" ht="30" spans="1:21">
      <c r="A18" s="41">
        <v>9</v>
      </c>
      <c r="B18" s="42" t="s">
        <v>45</v>
      </c>
      <c r="C18" s="41" t="s">
        <v>34</v>
      </c>
      <c r="D18" s="43" t="s">
        <v>35</v>
      </c>
      <c r="E18" s="41">
        <v>5</v>
      </c>
      <c r="F18" s="41" t="s">
        <v>36</v>
      </c>
      <c r="G18" s="45">
        <v>0.4</v>
      </c>
      <c r="H18" s="44">
        <v>0</v>
      </c>
      <c r="I18" s="45">
        <v>0.6</v>
      </c>
      <c r="J18" s="59">
        <v>60.8</v>
      </c>
      <c r="K18" s="59">
        <f t="shared" si="0"/>
        <v>24.3</v>
      </c>
      <c r="L18" s="59">
        <f t="shared" si="1"/>
        <v>36.5</v>
      </c>
      <c r="M18" s="41">
        <v>0</v>
      </c>
      <c r="N18" s="41">
        <v>22</v>
      </c>
      <c r="O18" s="41">
        <f t="shared" si="2"/>
        <v>22</v>
      </c>
      <c r="P18" s="60">
        <v>8762.2625</v>
      </c>
      <c r="Q18" s="60">
        <v>2.67</v>
      </c>
      <c r="R18" s="60">
        <v>3.6</v>
      </c>
      <c r="S18" s="60">
        <f t="shared" si="3"/>
        <v>0</v>
      </c>
      <c r="T18" s="60">
        <f t="shared" si="4"/>
        <v>136622.49</v>
      </c>
      <c r="U18" s="60">
        <f t="shared" si="5"/>
        <v>136622.4925</v>
      </c>
    </row>
    <row r="19" ht="30" spans="1:21">
      <c r="A19" s="41">
        <v>10</v>
      </c>
      <c r="B19" s="42" t="s">
        <v>46</v>
      </c>
      <c r="C19" s="41" t="s">
        <v>34</v>
      </c>
      <c r="D19" s="43" t="s">
        <v>35</v>
      </c>
      <c r="E19" s="41">
        <v>5</v>
      </c>
      <c r="F19" s="41" t="s">
        <v>36</v>
      </c>
      <c r="G19" s="45">
        <v>0.3</v>
      </c>
      <c r="H19" s="44">
        <v>0</v>
      </c>
      <c r="I19" s="45">
        <v>0.7</v>
      </c>
      <c r="J19" s="59">
        <v>58</v>
      </c>
      <c r="K19" s="59">
        <f t="shared" si="0"/>
        <v>17.4</v>
      </c>
      <c r="L19" s="59">
        <f t="shared" si="1"/>
        <v>40.6</v>
      </c>
      <c r="M19" s="41">
        <v>0</v>
      </c>
      <c r="N19" s="41">
        <v>20</v>
      </c>
      <c r="O19" s="41">
        <f t="shared" si="2"/>
        <v>20</v>
      </c>
      <c r="P19" s="60">
        <v>8762.2625</v>
      </c>
      <c r="Q19" s="60">
        <v>2.67</v>
      </c>
      <c r="R19" s="60">
        <v>3.6</v>
      </c>
      <c r="S19" s="60">
        <f t="shared" si="3"/>
        <v>0</v>
      </c>
      <c r="T19" s="60">
        <f t="shared" si="4"/>
        <v>135871.58</v>
      </c>
      <c r="U19" s="60">
        <f t="shared" si="5"/>
        <v>135871.5775</v>
      </c>
    </row>
    <row r="20" ht="30" spans="1:21">
      <c r="A20" s="41">
        <v>11</v>
      </c>
      <c r="B20" s="42" t="s">
        <v>47</v>
      </c>
      <c r="C20" s="41" t="s">
        <v>48</v>
      </c>
      <c r="D20" s="43" t="s">
        <v>35</v>
      </c>
      <c r="E20" s="41">
        <v>5</v>
      </c>
      <c r="F20" s="41" t="s">
        <v>36</v>
      </c>
      <c r="G20" s="44">
        <v>1</v>
      </c>
      <c r="H20" s="44">
        <v>0</v>
      </c>
      <c r="I20" s="44">
        <v>0</v>
      </c>
      <c r="J20" s="59">
        <v>6</v>
      </c>
      <c r="K20" s="59">
        <f t="shared" si="0"/>
        <v>6</v>
      </c>
      <c r="L20" s="59">
        <f t="shared" si="1"/>
        <v>0</v>
      </c>
      <c r="M20" s="41">
        <v>0</v>
      </c>
      <c r="N20" s="41">
        <v>43</v>
      </c>
      <c r="O20" s="41">
        <f t="shared" si="2"/>
        <v>43</v>
      </c>
      <c r="P20" s="60">
        <v>8668.32</v>
      </c>
      <c r="Q20" s="60">
        <v>3.37</v>
      </c>
      <c r="R20" s="60">
        <v>4.54</v>
      </c>
      <c r="S20" s="60">
        <f t="shared" si="3"/>
        <v>0</v>
      </c>
      <c r="T20" s="60">
        <f t="shared" si="4"/>
        <v>99496.62</v>
      </c>
      <c r="U20" s="60">
        <f t="shared" si="5"/>
        <v>99496.62</v>
      </c>
    </row>
    <row r="21" ht="30" spans="1:21">
      <c r="A21" s="41">
        <v>12</v>
      </c>
      <c r="B21" s="42" t="s">
        <v>49</v>
      </c>
      <c r="C21" s="41" t="s">
        <v>50</v>
      </c>
      <c r="D21" s="43" t="s">
        <v>35</v>
      </c>
      <c r="E21" s="41">
        <v>5</v>
      </c>
      <c r="F21" s="41" t="s">
        <v>36</v>
      </c>
      <c r="G21" s="44">
        <v>1</v>
      </c>
      <c r="H21" s="44">
        <v>0</v>
      </c>
      <c r="I21" s="44">
        <v>0</v>
      </c>
      <c r="J21" s="59">
        <v>6.8</v>
      </c>
      <c r="K21" s="59">
        <f t="shared" si="0"/>
        <v>6.8</v>
      </c>
      <c r="L21" s="59">
        <f t="shared" si="1"/>
        <v>0</v>
      </c>
      <c r="M21" s="41">
        <v>0</v>
      </c>
      <c r="N21" s="41">
        <v>79</v>
      </c>
      <c r="O21" s="41">
        <f t="shared" si="2"/>
        <v>79</v>
      </c>
      <c r="P21" s="60">
        <v>8868.1258</v>
      </c>
      <c r="Q21" s="60">
        <v>3.88</v>
      </c>
      <c r="R21" s="60">
        <v>5.24</v>
      </c>
      <c r="S21" s="60">
        <f t="shared" si="3"/>
        <v>0</v>
      </c>
      <c r="T21" s="60">
        <f t="shared" si="4"/>
        <v>102958.1</v>
      </c>
      <c r="U21" s="60">
        <f t="shared" si="5"/>
        <v>102958.1038</v>
      </c>
    </row>
    <row r="22" ht="30" spans="1:21">
      <c r="A22" s="41">
        <v>13</v>
      </c>
      <c r="B22" s="42" t="s">
        <v>51</v>
      </c>
      <c r="C22" s="41" t="s">
        <v>34</v>
      </c>
      <c r="D22" s="43" t="s">
        <v>35</v>
      </c>
      <c r="E22" s="41">
        <v>5</v>
      </c>
      <c r="F22" s="41" t="s">
        <v>36</v>
      </c>
      <c r="G22" s="45">
        <v>0.59</v>
      </c>
      <c r="H22" s="44">
        <v>0</v>
      </c>
      <c r="I22" s="45">
        <v>0.41</v>
      </c>
      <c r="J22" s="59">
        <v>87.3</v>
      </c>
      <c r="K22" s="59">
        <f t="shared" si="0"/>
        <v>51.5</v>
      </c>
      <c r="L22" s="59">
        <f t="shared" si="1"/>
        <v>35.8</v>
      </c>
      <c r="M22" s="41">
        <v>0</v>
      </c>
      <c r="N22" s="41">
        <v>28</v>
      </c>
      <c r="O22" s="41">
        <f t="shared" si="2"/>
        <v>28</v>
      </c>
      <c r="P22" s="60">
        <v>8762.2625</v>
      </c>
      <c r="Q22" s="60">
        <v>2.67</v>
      </c>
      <c r="R22" s="60">
        <v>3.6</v>
      </c>
      <c r="S22" s="60">
        <f t="shared" si="3"/>
        <v>0</v>
      </c>
      <c r="T22" s="60">
        <f t="shared" si="4"/>
        <v>150993.81</v>
      </c>
      <c r="U22" s="60">
        <f t="shared" si="5"/>
        <v>150993.8125</v>
      </c>
    </row>
    <row r="23" ht="30" spans="1:21">
      <c r="A23" s="41">
        <v>14</v>
      </c>
      <c r="B23" s="42" t="s">
        <v>52</v>
      </c>
      <c r="C23" s="41" t="s">
        <v>50</v>
      </c>
      <c r="D23" s="43" t="s">
        <v>35</v>
      </c>
      <c r="E23" s="41">
        <v>5</v>
      </c>
      <c r="F23" s="41" t="s">
        <v>36</v>
      </c>
      <c r="G23" s="44">
        <v>1</v>
      </c>
      <c r="H23" s="44">
        <v>0</v>
      </c>
      <c r="I23" s="44">
        <v>0</v>
      </c>
      <c r="J23" s="59">
        <v>34</v>
      </c>
      <c r="K23" s="59">
        <f t="shared" si="0"/>
        <v>34</v>
      </c>
      <c r="L23" s="59">
        <f t="shared" si="1"/>
        <v>0</v>
      </c>
      <c r="M23" s="41">
        <v>0</v>
      </c>
      <c r="N23" s="41">
        <v>80</v>
      </c>
      <c r="O23" s="41">
        <f t="shared" si="2"/>
        <v>80</v>
      </c>
      <c r="P23" s="60">
        <v>8868.1258</v>
      </c>
      <c r="Q23" s="60">
        <v>3.88</v>
      </c>
      <c r="R23" s="60">
        <v>5.24</v>
      </c>
      <c r="S23" s="60">
        <f t="shared" si="3"/>
        <v>0</v>
      </c>
      <c r="T23" s="60">
        <f t="shared" si="4"/>
        <v>124592.98</v>
      </c>
      <c r="U23" s="60">
        <f t="shared" si="5"/>
        <v>124592.9838</v>
      </c>
    </row>
    <row r="24" ht="30" spans="1:21">
      <c r="A24" s="41">
        <v>15</v>
      </c>
      <c r="B24" s="42" t="s">
        <v>53</v>
      </c>
      <c r="C24" s="41" t="s">
        <v>50</v>
      </c>
      <c r="D24" s="43" t="s">
        <v>35</v>
      </c>
      <c r="E24" s="41">
        <v>5</v>
      </c>
      <c r="F24" s="41" t="s">
        <v>36</v>
      </c>
      <c r="G24" s="44">
        <v>1</v>
      </c>
      <c r="H24" s="44">
        <v>0</v>
      </c>
      <c r="I24" s="44">
        <v>0</v>
      </c>
      <c r="J24" s="59">
        <v>18.4</v>
      </c>
      <c r="K24" s="59">
        <f t="shared" si="0"/>
        <v>18.4</v>
      </c>
      <c r="L24" s="59">
        <f t="shared" si="1"/>
        <v>0</v>
      </c>
      <c r="M24" s="41">
        <v>0</v>
      </c>
      <c r="N24" s="41">
        <v>79</v>
      </c>
      <c r="O24" s="41">
        <f t="shared" si="2"/>
        <v>79</v>
      </c>
      <c r="P24" s="60">
        <v>8868.1258</v>
      </c>
      <c r="Q24" s="60">
        <v>3.88</v>
      </c>
      <c r="R24" s="60">
        <v>5.24</v>
      </c>
      <c r="S24" s="60">
        <f t="shared" si="3"/>
        <v>0</v>
      </c>
      <c r="T24" s="60">
        <f t="shared" si="4"/>
        <v>112184.74</v>
      </c>
      <c r="U24" s="60">
        <f t="shared" si="5"/>
        <v>112184.7438</v>
      </c>
    </row>
    <row r="25" ht="30" spans="1:21">
      <c r="A25" s="41">
        <v>16</v>
      </c>
      <c r="B25" s="42" t="s">
        <v>54</v>
      </c>
      <c r="C25" s="41" t="s">
        <v>48</v>
      </c>
      <c r="D25" s="43" t="s">
        <v>35</v>
      </c>
      <c r="E25" s="41">
        <v>5</v>
      </c>
      <c r="F25" s="41" t="s">
        <v>36</v>
      </c>
      <c r="G25" s="45">
        <v>0.3</v>
      </c>
      <c r="H25" s="44">
        <v>0</v>
      </c>
      <c r="I25" s="45">
        <v>0.7</v>
      </c>
      <c r="J25" s="59">
        <v>52.8</v>
      </c>
      <c r="K25" s="59">
        <f t="shared" si="0"/>
        <v>15.8</v>
      </c>
      <c r="L25" s="59">
        <f t="shared" si="1"/>
        <v>37</v>
      </c>
      <c r="M25" s="41">
        <v>0</v>
      </c>
      <c r="N25" s="41">
        <v>43</v>
      </c>
      <c r="O25" s="41">
        <f t="shared" si="2"/>
        <v>43</v>
      </c>
      <c r="P25" s="60">
        <v>8668.32</v>
      </c>
      <c r="Q25" s="60">
        <v>3.37</v>
      </c>
      <c r="R25" s="60">
        <v>4.54</v>
      </c>
      <c r="S25" s="60">
        <f t="shared" si="3"/>
        <v>0</v>
      </c>
      <c r="T25" s="60">
        <f t="shared" si="4"/>
        <v>140702.85</v>
      </c>
      <c r="U25" s="60">
        <f t="shared" si="5"/>
        <v>140702.85</v>
      </c>
    </row>
    <row r="26" ht="30" spans="1:21">
      <c r="A26" s="41">
        <v>17</v>
      </c>
      <c r="B26" s="42" t="s">
        <v>55</v>
      </c>
      <c r="C26" s="41" t="s">
        <v>48</v>
      </c>
      <c r="D26" s="43" t="s">
        <v>35</v>
      </c>
      <c r="E26" s="41">
        <v>5</v>
      </c>
      <c r="F26" s="41" t="s">
        <v>36</v>
      </c>
      <c r="G26" s="45">
        <v>0.25</v>
      </c>
      <c r="H26" s="44">
        <v>0</v>
      </c>
      <c r="I26" s="45">
        <v>0.75</v>
      </c>
      <c r="J26" s="59">
        <v>87.6</v>
      </c>
      <c r="K26" s="59">
        <f t="shared" si="0"/>
        <v>21.9</v>
      </c>
      <c r="L26" s="59">
        <f t="shared" si="1"/>
        <v>65.7</v>
      </c>
      <c r="M26" s="41">
        <v>0</v>
      </c>
      <c r="N26" s="41">
        <v>41</v>
      </c>
      <c r="O26" s="41">
        <f t="shared" si="2"/>
        <v>41</v>
      </c>
      <c r="P26" s="60">
        <v>8668.32</v>
      </c>
      <c r="Q26" s="60">
        <v>3.37</v>
      </c>
      <c r="R26" s="60">
        <v>4.54</v>
      </c>
      <c r="S26" s="60">
        <f t="shared" si="3"/>
        <v>0</v>
      </c>
      <c r="T26" s="60">
        <f t="shared" si="4"/>
        <v>171628.13</v>
      </c>
      <c r="U26" s="60">
        <f t="shared" si="5"/>
        <v>171628.125</v>
      </c>
    </row>
    <row r="27" ht="30" spans="1:21">
      <c r="A27" s="41">
        <v>18</v>
      </c>
      <c r="B27" s="42" t="s">
        <v>56</v>
      </c>
      <c r="C27" s="41" t="s">
        <v>50</v>
      </c>
      <c r="D27" s="43" t="s">
        <v>35</v>
      </c>
      <c r="E27" s="41">
        <v>5</v>
      </c>
      <c r="F27" s="41" t="s">
        <v>36</v>
      </c>
      <c r="G27" s="45">
        <v>0.3</v>
      </c>
      <c r="H27" s="44">
        <v>0</v>
      </c>
      <c r="I27" s="45">
        <v>0.7</v>
      </c>
      <c r="J27" s="59">
        <v>45.9</v>
      </c>
      <c r="K27" s="59">
        <f t="shared" si="0"/>
        <v>13.8</v>
      </c>
      <c r="L27" s="59">
        <f t="shared" si="1"/>
        <v>32.1</v>
      </c>
      <c r="M27" s="41">
        <v>0</v>
      </c>
      <c r="N27" s="41">
        <v>78</v>
      </c>
      <c r="O27" s="41">
        <f t="shared" si="2"/>
        <v>78</v>
      </c>
      <c r="P27" s="60">
        <v>8868.1258</v>
      </c>
      <c r="Q27" s="60">
        <v>3.88</v>
      </c>
      <c r="R27" s="60">
        <v>5.24</v>
      </c>
      <c r="S27" s="60">
        <f t="shared" si="3"/>
        <v>0</v>
      </c>
      <c r="T27" s="60">
        <f t="shared" si="4"/>
        <v>143007.72</v>
      </c>
      <c r="U27" s="60">
        <f t="shared" si="5"/>
        <v>143007.7238</v>
      </c>
    </row>
    <row r="28" ht="30" spans="1:21">
      <c r="A28" s="41">
        <v>19</v>
      </c>
      <c r="B28" s="42" t="s">
        <v>57</v>
      </c>
      <c r="C28" s="41" t="s">
        <v>48</v>
      </c>
      <c r="D28" s="43" t="s">
        <v>35</v>
      </c>
      <c r="E28" s="41">
        <v>5</v>
      </c>
      <c r="F28" s="41" t="s">
        <v>36</v>
      </c>
      <c r="G28" s="44">
        <v>0</v>
      </c>
      <c r="H28" s="44">
        <v>0</v>
      </c>
      <c r="I28" s="44">
        <v>1</v>
      </c>
      <c r="J28" s="59">
        <v>56.7</v>
      </c>
      <c r="K28" s="59">
        <f t="shared" si="0"/>
        <v>0</v>
      </c>
      <c r="L28" s="59">
        <f t="shared" si="1"/>
        <v>56.7</v>
      </c>
      <c r="M28" s="41">
        <v>0</v>
      </c>
      <c r="N28" s="41">
        <v>39</v>
      </c>
      <c r="O28" s="41">
        <f t="shared" si="2"/>
        <v>39</v>
      </c>
      <c r="P28" s="60">
        <v>8668.32</v>
      </c>
      <c r="Q28" s="60">
        <v>3.37</v>
      </c>
      <c r="R28" s="60">
        <v>4.54</v>
      </c>
      <c r="S28" s="60">
        <f t="shared" si="3"/>
        <v>0</v>
      </c>
      <c r="T28" s="60">
        <f t="shared" si="4"/>
        <v>148122.21</v>
      </c>
      <c r="U28" s="60">
        <f t="shared" si="5"/>
        <v>148122.21</v>
      </c>
    </row>
    <row r="29" ht="30" spans="1:21">
      <c r="A29" s="41">
        <v>20</v>
      </c>
      <c r="B29" s="42" t="s">
        <v>58</v>
      </c>
      <c r="C29" s="41" t="s">
        <v>48</v>
      </c>
      <c r="D29" s="43" t="s">
        <v>35</v>
      </c>
      <c r="E29" s="41">
        <v>5</v>
      </c>
      <c r="F29" s="41" t="s">
        <v>36</v>
      </c>
      <c r="G29" s="44">
        <v>0</v>
      </c>
      <c r="H29" s="44">
        <v>0</v>
      </c>
      <c r="I29" s="44">
        <v>1</v>
      </c>
      <c r="J29" s="59">
        <v>67.5</v>
      </c>
      <c r="K29" s="59">
        <f t="shared" si="0"/>
        <v>0</v>
      </c>
      <c r="L29" s="59">
        <f t="shared" si="1"/>
        <v>67.5</v>
      </c>
      <c r="M29" s="41">
        <v>0</v>
      </c>
      <c r="N29" s="41">
        <v>43</v>
      </c>
      <c r="O29" s="41">
        <f t="shared" si="2"/>
        <v>43</v>
      </c>
      <c r="P29" s="60">
        <v>8668.32</v>
      </c>
      <c r="Q29" s="60">
        <v>3.37</v>
      </c>
      <c r="R29" s="60">
        <v>4.54</v>
      </c>
      <c r="S29" s="60">
        <f t="shared" si="3"/>
        <v>0</v>
      </c>
      <c r="T29" s="60">
        <f t="shared" si="4"/>
        <v>158173.77</v>
      </c>
      <c r="U29" s="60">
        <f t="shared" si="5"/>
        <v>158173.77</v>
      </c>
    </row>
    <row r="30" ht="30" spans="1:21">
      <c r="A30" s="41">
        <v>21</v>
      </c>
      <c r="B30" s="42" t="s">
        <v>59</v>
      </c>
      <c r="C30" s="41" t="s">
        <v>48</v>
      </c>
      <c r="D30" s="43" t="s">
        <v>35</v>
      </c>
      <c r="E30" s="41">
        <v>5</v>
      </c>
      <c r="F30" s="41" t="s">
        <v>36</v>
      </c>
      <c r="G30" s="44">
        <v>0</v>
      </c>
      <c r="H30" s="44">
        <v>0</v>
      </c>
      <c r="I30" s="44">
        <v>1</v>
      </c>
      <c r="J30" s="41">
        <v>62.4</v>
      </c>
      <c r="K30" s="59">
        <f t="shared" si="0"/>
        <v>0</v>
      </c>
      <c r="L30" s="59">
        <f t="shared" si="1"/>
        <v>62.4</v>
      </c>
      <c r="M30" s="41">
        <v>0</v>
      </c>
      <c r="N30" s="41">
        <v>41</v>
      </c>
      <c r="O30" s="41">
        <f t="shared" si="2"/>
        <v>41</v>
      </c>
      <c r="P30" s="60">
        <v>8668.32</v>
      </c>
      <c r="Q30" s="60">
        <v>3.37</v>
      </c>
      <c r="R30" s="60">
        <v>4.54</v>
      </c>
      <c r="S30" s="60">
        <f t="shared" si="3"/>
        <v>0</v>
      </c>
      <c r="T30" s="60">
        <f t="shared" si="4"/>
        <v>153427.2</v>
      </c>
      <c r="U30" s="60">
        <f t="shared" si="5"/>
        <v>153427.2</v>
      </c>
    </row>
    <row r="31" ht="30" spans="1:21">
      <c r="A31" s="41">
        <v>22</v>
      </c>
      <c r="B31" s="42" t="s">
        <v>60</v>
      </c>
      <c r="C31" s="41" t="s">
        <v>48</v>
      </c>
      <c r="D31" s="43" t="s">
        <v>35</v>
      </c>
      <c r="E31" s="41">
        <v>5</v>
      </c>
      <c r="F31" s="41" t="s">
        <v>36</v>
      </c>
      <c r="G31" s="45">
        <v>0.5</v>
      </c>
      <c r="H31" s="44">
        <v>0</v>
      </c>
      <c r="I31" s="45">
        <v>0.5</v>
      </c>
      <c r="J31" s="59">
        <v>71.2</v>
      </c>
      <c r="K31" s="59">
        <f t="shared" si="0"/>
        <v>35.6</v>
      </c>
      <c r="L31" s="59">
        <f t="shared" si="1"/>
        <v>35.6</v>
      </c>
      <c r="M31" s="41">
        <v>0</v>
      </c>
      <c r="N31" s="41">
        <v>39</v>
      </c>
      <c r="O31" s="41">
        <f t="shared" si="2"/>
        <v>39</v>
      </c>
      <c r="P31" s="60">
        <v>8668.32</v>
      </c>
      <c r="Q31" s="60">
        <v>3.37</v>
      </c>
      <c r="R31" s="60">
        <v>4.54</v>
      </c>
      <c r="S31" s="60">
        <f t="shared" si="3"/>
        <v>0</v>
      </c>
      <c r="T31" s="60">
        <f t="shared" si="4"/>
        <v>153078.7</v>
      </c>
      <c r="U31" s="60">
        <f t="shared" si="5"/>
        <v>153078.7</v>
      </c>
    </row>
    <row r="32" ht="25" customHeight="1" spans="1:21">
      <c r="A32" s="49" t="s">
        <v>61</v>
      </c>
      <c r="B32" s="50"/>
      <c r="C32" s="51"/>
      <c r="D32" s="52"/>
      <c r="E32" s="53"/>
      <c r="F32" s="53"/>
      <c r="G32" s="54"/>
      <c r="H32" s="54"/>
      <c r="I32" s="54"/>
      <c r="J32" s="53">
        <f t="shared" ref="J32:O32" si="6">SUM(J10:J31)</f>
        <v>1517</v>
      </c>
      <c r="K32" s="53">
        <f t="shared" si="6"/>
        <v>344.8</v>
      </c>
      <c r="L32" s="53">
        <f t="shared" si="6"/>
        <v>1172.2</v>
      </c>
      <c r="M32" s="53">
        <f t="shared" si="6"/>
        <v>0</v>
      </c>
      <c r="N32" s="53">
        <f t="shared" si="6"/>
        <v>862</v>
      </c>
      <c r="O32" s="53">
        <f t="shared" si="6"/>
        <v>862</v>
      </c>
      <c r="P32" s="62">
        <f>AVERAGE(P10:P31)</f>
        <v>8758.08537272727</v>
      </c>
      <c r="Q32" s="62">
        <f>AVERAGE(Q10:Q31)</f>
        <v>3.11590909090909</v>
      </c>
      <c r="R32" s="62">
        <f>AVERAGE(R10:R31)</f>
        <v>4.20181818181818</v>
      </c>
      <c r="S32" s="62">
        <f>SUM(S10:S31)</f>
        <v>0</v>
      </c>
      <c r="T32" s="62">
        <f>SUM(T10:T31)</f>
        <v>3278834.36</v>
      </c>
      <c r="U32" s="62">
        <f>SUM(U10:U31)</f>
        <v>3278834.3652</v>
      </c>
    </row>
    <row r="33" ht="16" customHeight="1" spans="1:21">
      <c r="A33" s="68"/>
      <c r="B33" s="68"/>
      <c r="C33" s="68"/>
      <c r="D33" s="68"/>
      <c r="E33" s="68"/>
      <c r="F33" s="68"/>
      <c r="G33" s="68"/>
      <c r="H33" s="68"/>
      <c r="I33" s="68"/>
      <c r="J33" s="68"/>
      <c r="K33" s="68"/>
      <c r="L33" s="68"/>
      <c r="M33" s="68"/>
      <c r="N33" s="68"/>
      <c r="O33" s="68"/>
      <c r="P33" s="68"/>
      <c r="Q33" s="68"/>
      <c r="R33" s="68"/>
      <c r="S33" s="68"/>
      <c r="T33" s="68"/>
      <c r="U33" s="68"/>
    </row>
    <row r="34" ht="122" customHeight="1" spans="1:21">
      <c r="A34" s="58" t="s">
        <v>62</v>
      </c>
      <c r="B34" s="58"/>
      <c r="C34" s="58"/>
      <c r="D34" s="58"/>
      <c r="E34" s="58"/>
      <c r="F34" s="58"/>
      <c r="G34" s="58"/>
      <c r="H34" s="58"/>
      <c r="I34" s="58"/>
      <c r="J34" s="58"/>
      <c r="K34" s="58"/>
      <c r="L34" s="58"/>
      <c r="M34" s="58"/>
      <c r="N34" s="58"/>
      <c r="O34" s="58"/>
      <c r="P34" s="58"/>
      <c r="Q34" s="58"/>
      <c r="R34" s="58"/>
      <c r="S34" s="58"/>
      <c r="T34" s="58"/>
      <c r="U34" s="58"/>
    </row>
  </sheetData>
  <mergeCells count="9">
    <mergeCell ref="A1:U1"/>
    <mergeCell ref="A2:U2"/>
    <mergeCell ref="A3:U3"/>
    <mergeCell ref="A4:U4"/>
    <mergeCell ref="A5:U5"/>
    <mergeCell ref="A7:U7"/>
    <mergeCell ref="A32:C32"/>
    <mergeCell ref="A33:U33"/>
    <mergeCell ref="A34:U34"/>
  </mergeCells>
  <pageMargins left="0.511811024" right="0.511811024" top="0.787401575" bottom="0.787401575" header="0.31496062" footer="0.31496062"/>
  <pageSetup paperSize="9" scale="46" fitToHeight="0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34"/>
  <sheetViews>
    <sheetView showGridLines="0" tabSelected="1" view="pageBreakPreview" zoomScale="85" zoomScaleNormal="70" workbookViewId="0">
      <selection activeCell="J10" sqref="J10"/>
    </sheetView>
  </sheetViews>
  <sheetFormatPr defaultColWidth="9" defaultRowHeight="15"/>
  <cols>
    <col min="1" max="1" width="9.71428571428571" style="1" customWidth="1"/>
    <col min="2" max="2" width="17.7142857142857" style="1" customWidth="1"/>
    <col min="3" max="4" width="15.7142857142857" style="1" customWidth="1"/>
    <col min="5" max="5" width="14.7142857142857" style="1" customWidth="1"/>
    <col min="6" max="6" width="12.7142857142857" style="1" customWidth="1"/>
    <col min="7" max="7" width="13.7142857142857" style="1" customWidth="1"/>
    <col min="8" max="8" width="9" style="1" hidden="1" customWidth="1"/>
    <col min="9" max="15" width="13.7142857142857" style="1" customWidth="1"/>
    <col min="16" max="16" width="15.8857142857143" style="1" customWidth="1"/>
    <col min="17" max="18" width="13.7142857142857" style="1" customWidth="1"/>
    <col min="19" max="19" width="15.5333333333333" style="1" customWidth="1"/>
    <col min="20" max="21" width="17.7142857142857" style="1" customWidth="1"/>
    <col min="22" max="22" width="14.2857142857143" style="1" customWidth="1"/>
    <col min="23" max="23" width="10.2857142857143" style="1" customWidth="1"/>
    <col min="24" max="24" width="9.85714285714286" style="1" customWidth="1"/>
    <col min="25" max="25" width="12.7142857142857" style="1" customWidth="1"/>
    <col min="26" max="16384" width="9.14285714285714" style="1"/>
  </cols>
  <sheetData>
    <row r="1" spans="1:25">
      <c r="A1" s="37" t="s">
        <v>0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7"/>
      <c r="P1" s="37"/>
      <c r="Q1" s="37"/>
      <c r="R1" s="37"/>
      <c r="S1" s="37"/>
      <c r="T1" s="37"/>
      <c r="U1" s="37"/>
      <c r="V1" s="64" t="s">
        <v>1</v>
      </c>
      <c r="W1" s="64" t="s">
        <v>2</v>
      </c>
      <c r="X1" s="64" t="s">
        <v>3</v>
      </c>
      <c r="Y1" s="64" t="s">
        <v>4</v>
      </c>
    </row>
    <row r="2" spans="1:25">
      <c r="A2" s="37" t="s">
        <v>5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41">
        <v>5</v>
      </c>
      <c r="W2" s="41">
        <v>95</v>
      </c>
      <c r="X2" s="41">
        <v>5</v>
      </c>
      <c r="Y2" s="41" t="s">
        <v>6</v>
      </c>
    </row>
    <row r="3" spans="1:25">
      <c r="A3" s="37" t="s">
        <v>7</v>
      </c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Q3" s="37"/>
      <c r="R3" s="37"/>
      <c r="S3" s="37"/>
      <c r="T3" s="37"/>
      <c r="U3" s="37"/>
      <c r="V3" s="41">
        <v>4</v>
      </c>
      <c r="W3" s="41">
        <f>ROUNDUP(W2/V2*V3,0)</f>
        <v>76</v>
      </c>
      <c r="X3" s="41">
        <v>8</v>
      </c>
      <c r="Y3" s="41"/>
    </row>
    <row r="4" spans="1:25">
      <c r="A4" s="37" t="s">
        <v>8</v>
      </c>
      <c r="B4" s="37"/>
      <c r="C4" s="37"/>
      <c r="D4" s="37"/>
      <c r="E4" s="37"/>
      <c r="F4" s="37"/>
      <c r="G4" s="37"/>
      <c r="H4" s="37"/>
      <c r="I4" s="37"/>
      <c r="J4" s="37"/>
      <c r="K4" s="37"/>
      <c r="L4" s="37"/>
      <c r="M4" s="37"/>
      <c r="N4" s="37"/>
      <c r="O4" s="37"/>
      <c r="P4" s="37"/>
      <c r="Q4" s="37"/>
      <c r="R4" s="37"/>
      <c r="S4" s="37"/>
      <c r="T4" s="37"/>
      <c r="U4" s="37"/>
      <c r="V4" s="41">
        <v>3</v>
      </c>
      <c r="W4" s="41">
        <f>ROUNDUP(W2/V2*V4,0)</f>
        <v>57</v>
      </c>
      <c r="X4" s="41">
        <v>8</v>
      </c>
      <c r="Y4" s="41"/>
    </row>
    <row r="5" spans="1:25">
      <c r="A5" s="37" t="s">
        <v>9</v>
      </c>
      <c r="B5" s="37"/>
      <c r="C5" s="37"/>
      <c r="D5" s="37"/>
      <c r="E5" s="37"/>
      <c r="F5" s="37"/>
      <c r="G5" s="37"/>
      <c r="H5" s="37"/>
      <c r="I5" s="37"/>
      <c r="J5" s="37"/>
      <c r="K5" s="37"/>
      <c r="L5" s="37"/>
      <c r="M5" s="37"/>
      <c r="N5" s="37"/>
      <c r="O5" s="37"/>
      <c r="P5" s="37"/>
      <c r="Q5" s="37"/>
      <c r="R5" s="37"/>
      <c r="S5" s="37"/>
      <c r="T5" s="37"/>
      <c r="U5" s="37"/>
      <c r="V5" s="41">
        <v>2</v>
      </c>
      <c r="W5" s="41">
        <f>ROUNDUP(W2/V2*V5,0)</f>
        <v>38</v>
      </c>
      <c r="X5" s="41">
        <v>8</v>
      </c>
      <c r="Y5" s="41" t="s">
        <v>10</v>
      </c>
    </row>
    <row r="6" ht="14.25" customHeight="1" spans="1:25">
      <c r="A6" s="37"/>
      <c r="B6" s="37"/>
      <c r="C6" s="37"/>
      <c r="D6" s="37"/>
      <c r="E6" s="37"/>
      <c r="F6" s="37"/>
      <c r="G6" s="37"/>
      <c r="H6" s="37"/>
      <c r="I6" s="37"/>
      <c r="J6" s="37"/>
      <c r="K6" s="37"/>
      <c r="L6" s="37"/>
      <c r="M6" s="37"/>
      <c r="N6" s="37"/>
      <c r="O6" s="37"/>
      <c r="P6" s="37"/>
      <c r="Q6" s="37"/>
      <c r="R6" s="37"/>
      <c r="S6" s="37"/>
      <c r="T6" s="37"/>
      <c r="U6" s="37"/>
      <c r="V6" s="41">
        <v>1</v>
      </c>
      <c r="W6" s="41">
        <f>ROUNDUP(W2/V2*V6,0)</f>
        <v>19</v>
      </c>
      <c r="X6" s="41">
        <v>8</v>
      </c>
      <c r="Y6" s="41"/>
    </row>
    <row r="7" ht="31.5" spans="1:21">
      <c r="A7" s="38" t="s">
        <v>63</v>
      </c>
      <c r="B7" s="38"/>
      <c r="C7" s="38"/>
      <c r="D7" s="38"/>
      <c r="E7" s="38"/>
      <c r="F7" s="38"/>
      <c r="G7" s="38"/>
      <c r="H7" s="38"/>
      <c r="I7" s="38"/>
      <c r="J7" s="38"/>
      <c r="K7" s="38"/>
      <c r="L7" s="38"/>
      <c r="M7" s="38"/>
      <c r="N7" s="38"/>
      <c r="O7" s="38"/>
      <c r="P7" s="38"/>
      <c r="Q7" s="38"/>
      <c r="R7" s="38"/>
      <c r="S7" s="38"/>
      <c r="T7" s="38"/>
      <c r="U7" s="38"/>
    </row>
    <row r="8" spans="1:21">
      <c r="A8" s="37"/>
      <c r="B8" s="37"/>
      <c r="C8" s="37"/>
      <c r="D8" s="37"/>
      <c r="E8" s="37"/>
      <c r="F8" s="37"/>
      <c r="G8" s="37"/>
      <c r="H8" s="37"/>
      <c r="I8" s="37"/>
      <c r="J8" s="37"/>
      <c r="K8" s="37"/>
      <c r="L8" s="37"/>
      <c r="M8" s="37"/>
      <c r="N8" s="37"/>
      <c r="O8" s="37"/>
      <c r="P8" s="37"/>
      <c r="Q8" s="37"/>
      <c r="R8" s="37"/>
      <c r="S8" s="37"/>
      <c r="T8" s="37"/>
      <c r="U8" s="37"/>
    </row>
    <row r="9" ht="45" customHeight="1" spans="1:21">
      <c r="A9" s="39" t="s">
        <v>12</v>
      </c>
      <c r="B9" s="40" t="s">
        <v>13</v>
      </c>
      <c r="C9" s="39" t="s">
        <v>14</v>
      </c>
      <c r="D9" s="40" t="s">
        <v>15</v>
      </c>
      <c r="E9" s="40" t="s">
        <v>16</v>
      </c>
      <c r="F9" s="39" t="s">
        <v>17</v>
      </c>
      <c r="G9" s="39" t="s">
        <v>18</v>
      </c>
      <c r="H9" s="39" t="s">
        <v>19</v>
      </c>
      <c r="I9" s="39" t="s">
        <v>20</v>
      </c>
      <c r="J9" s="39" t="s">
        <v>21</v>
      </c>
      <c r="K9" s="39" t="s">
        <v>22</v>
      </c>
      <c r="L9" s="39" t="s">
        <v>23</v>
      </c>
      <c r="M9" s="40" t="s">
        <v>24</v>
      </c>
      <c r="N9" s="40" t="s">
        <v>25</v>
      </c>
      <c r="O9" s="40" t="s">
        <v>26</v>
      </c>
      <c r="P9" s="39" t="s">
        <v>27</v>
      </c>
      <c r="Q9" s="40" t="s">
        <v>28</v>
      </c>
      <c r="R9" s="40" t="s">
        <v>29</v>
      </c>
      <c r="S9" s="40" t="s">
        <v>30</v>
      </c>
      <c r="T9" s="40" t="s">
        <v>31</v>
      </c>
      <c r="U9" s="40" t="s">
        <v>32</v>
      </c>
    </row>
    <row r="10" ht="30" spans="1:21">
      <c r="A10" s="41">
        <v>1</v>
      </c>
      <c r="B10" s="42" t="s">
        <v>33</v>
      </c>
      <c r="C10" s="41" t="s">
        <v>34</v>
      </c>
      <c r="D10" s="43" t="s">
        <v>35</v>
      </c>
      <c r="E10" s="41">
        <v>5</v>
      </c>
      <c r="F10" s="41" t="s">
        <v>36</v>
      </c>
      <c r="G10" s="44">
        <v>0.05</v>
      </c>
      <c r="H10" s="44">
        <v>0</v>
      </c>
      <c r="I10" s="44">
        <v>0.95</v>
      </c>
      <c r="J10" s="59">
        <v>108.7</v>
      </c>
      <c r="K10" s="59">
        <f t="shared" ref="K10:K31" si="0">ROUND(J10*G10,1)</f>
        <v>5.4</v>
      </c>
      <c r="L10" s="59">
        <f t="shared" ref="L10:L31" si="1">ROUND(J10-K10,1)</f>
        <v>103.3</v>
      </c>
      <c r="M10" s="41">
        <v>0</v>
      </c>
      <c r="N10" s="41">
        <v>23</v>
      </c>
      <c r="O10" s="41">
        <f t="shared" ref="O10:O31" si="2">ROUND(M10+N10,0)</f>
        <v>23</v>
      </c>
      <c r="P10" s="60">
        <v>8762.2625</v>
      </c>
      <c r="Q10" s="60">
        <v>2.67</v>
      </c>
      <c r="R10" s="60">
        <v>3.6</v>
      </c>
      <c r="S10" s="60">
        <f t="shared" ref="S10:S31" si="3">ROUND(U10*M10/O10,2)</f>
        <v>0</v>
      </c>
      <c r="T10" s="60">
        <f t="shared" ref="T10:T31" si="4">ROUND(U10-S10,2)</f>
        <v>80509.62</v>
      </c>
      <c r="U10" s="60">
        <f>(P10*VLOOKUP(E10,$V$2:$X$6,3,FALSE))+(K10*Q10*VLOOKUP(E10,$V$2:$X$6,2,FALSE))+(R10*L10*VLOOKUP(E10,$V$2:$X$6,2,FALSE))</f>
        <v>80509.6225</v>
      </c>
    </row>
    <row r="11" ht="30" spans="1:21">
      <c r="A11" s="41">
        <v>2</v>
      </c>
      <c r="B11" s="42" t="s">
        <v>37</v>
      </c>
      <c r="C11" s="41" t="s">
        <v>34</v>
      </c>
      <c r="D11" s="43" t="s">
        <v>35</v>
      </c>
      <c r="E11" s="41">
        <v>5</v>
      </c>
      <c r="F11" s="41" t="s">
        <v>36</v>
      </c>
      <c r="G11" s="45">
        <v>0.06</v>
      </c>
      <c r="H11" s="44">
        <v>0</v>
      </c>
      <c r="I11" s="45">
        <v>0.94</v>
      </c>
      <c r="J11" s="59">
        <v>86.1</v>
      </c>
      <c r="K11" s="59">
        <f t="shared" si="0"/>
        <v>5.2</v>
      </c>
      <c r="L11" s="59">
        <f t="shared" si="1"/>
        <v>80.9</v>
      </c>
      <c r="M11" s="41">
        <v>0</v>
      </c>
      <c r="N11" s="41">
        <v>26</v>
      </c>
      <c r="O11" s="41">
        <f t="shared" si="2"/>
        <v>26</v>
      </c>
      <c r="P11" s="60">
        <v>8762.2625</v>
      </c>
      <c r="Q11" s="60">
        <v>2.67</v>
      </c>
      <c r="R11" s="60">
        <v>3.6</v>
      </c>
      <c r="S11" s="60">
        <f t="shared" si="3"/>
        <v>0</v>
      </c>
      <c r="T11" s="60">
        <f t="shared" si="4"/>
        <v>72798.09</v>
      </c>
      <c r="U11" s="60">
        <f>(P11*VLOOKUP(E11,$V$2:$X$6,3,FALSE))+(K11*Q11*VLOOKUP(E11,$V$2:$X$6,2,FALSE))+(R11*L11*VLOOKUP(E11,$V$2:$X$6,2,FALSE))</f>
        <v>72798.0925</v>
      </c>
    </row>
    <row r="12" ht="30" spans="1:21">
      <c r="A12" s="41">
        <v>3</v>
      </c>
      <c r="B12" s="42" t="s">
        <v>38</v>
      </c>
      <c r="C12" s="41" t="s">
        <v>34</v>
      </c>
      <c r="D12" s="43" t="s">
        <v>35</v>
      </c>
      <c r="E12" s="41">
        <v>5</v>
      </c>
      <c r="F12" s="41" t="s">
        <v>36</v>
      </c>
      <c r="G12" s="45">
        <v>0.07</v>
      </c>
      <c r="H12" s="44">
        <v>0</v>
      </c>
      <c r="I12" s="45">
        <v>0.93</v>
      </c>
      <c r="J12" s="59">
        <v>74.8</v>
      </c>
      <c r="K12" s="59">
        <f t="shared" si="0"/>
        <v>5.2</v>
      </c>
      <c r="L12" s="59">
        <f t="shared" si="1"/>
        <v>69.6</v>
      </c>
      <c r="M12" s="41">
        <v>0</v>
      </c>
      <c r="N12" s="41">
        <v>25</v>
      </c>
      <c r="O12" s="41">
        <f t="shared" si="2"/>
        <v>25</v>
      </c>
      <c r="P12" s="60">
        <v>8762.2625</v>
      </c>
      <c r="Q12" s="60">
        <v>2.67</v>
      </c>
      <c r="R12" s="60">
        <v>3.6</v>
      </c>
      <c r="S12" s="60">
        <f t="shared" si="3"/>
        <v>0</v>
      </c>
      <c r="T12" s="60">
        <f t="shared" si="4"/>
        <v>68933.49</v>
      </c>
      <c r="U12" s="60">
        <f>(P12*VLOOKUP(E12,$V$2:$X$6,3,FALSE))+(K12*Q12*VLOOKUP(E12,$V$2:$X$6,2,FALSE))+(R12*L12*VLOOKUP(E12,$V$2:$X$6,2,FALSE))</f>
        <v>68933.4925</v>
      </c>
    </row>
    <row r="13" ht="30" spans="1:21">
      <c r="A13" s="41">
        <v>4</v>
      </c>
      <c r="B13" s="42" t="s">
        <v>39</v>
      </c>
      <c r="C13" s="41" t="s">
        <v>34</v>
      </c>
      <c r="D13" s="43" t="s">
        <v>35</v>
      </c>
      <c r="E13" s="41">
        <v>5</v>
      </c>
      <c r="F13" s="41" t="s">
        <v>36</v>
      </c>
      <c r="G13" s="44">
        <v>0.3</v>
      </c>
      <c r="H13" s="44">
        <v>0</v>
      </c>
      <c r="I13" s="44">
        <v>0.7</v>
      </c>
      <c r="J13" s="59">
        <v>84.6</v>
      </c>
      <c r="K13" s="59">
        <f t="shared" si="0"/>
        <v>25.4</v>
      </c>
      <c r="L13" s="59">
        <f t="shared" si="1"/>
        <v>59.2</v>
      </c>
      <c r="M13" s="41">
        <v>0</v>
      </c>
      <c r="N13" s="41">
        <v>24</v>
      </c>
      <c r="O13" s="41">
        <f t="shared" si="2"/>
        <v>24</v>
      </c>
      <c r="P13" s="60">
        <v>8762.2625</v>
      </c>
      <c r="Q13" s="60">
        <v>2.67</v>
      </c>
      <c r="R13" s="60">
        <v>3.6</v>
      </c>
      <c r="S13" s="60">
        <f t="shared" si="3"/>
        <v>0</v>
      </c>
      <c r="T13" s="60">
        <f t="shared" si="4"/>
        <v>70500.42</v>
      </c>
      <c r="U13" s="60">
        <f>(P13*VLOOKUP(E13,$V$2:$X$6,3,FALSE))+(K13*Q13*VLOOKUP(E13,$V$2:$X$6,2,FALSE))+(R13*L13*VLOOKUP(E13,$V$2:$X$6,2,FALSE))</f>
        <v>70500.4225</v>
      </c>
    </row>
    <row r="14" ht="30" spans="1:21">
      <c r="A14" s="41">
        <v>5</v>
      </c>
      <c r="B14" s="42" t="s">
        <v>40</v>
      </c>
      <c r="C14" s="41" t="s">
        <v>34</v>
      </c>
      <c r="D14" s="43" t="s">
        <v>35</v>
      </c>
      <c r="E14" s="41">
        <v>5</v>
      </c>
      <c r="F14" s="41" t="s">
        <v>36</v>
      </c>
      <c r="G14" s="45">
        <v>0.06</v>
      </c>
      <c r="H14" s="44">
        <v>0</v>
      </c>
      <c r="I14" s="45">
        <v>0.94</v>
      </c>
      <c r="J14" s="59">
        <v>90.8</v>
      </c>
      <c r="K14" s="59">
        <f t="shared" si="0"/>
        <v>5.4</v>
      </c>
      <c r="L14" s="59">
        <f t="shared" si="1"/>
        <v>85.4</v>
      </c>
      <c r="M14" s="41">
        <v>0</v>
      </c>
      <c r="N14" s="41">
        <v>27</v>
      </c>
      <c r="O14" s="41">
        <f t="shared" si="2"/>
        <v>27</v>
      </c>
      <c r="P14" s="60">
        <v>8762.2625</v>
      </c>
      <c r="Q14" s="60">
        <v>2.67</v>
      </c>
      <c r="R14" s="60">
        <v>3.6</v>
      </c>
      <c r="S14" s="60">
        <f t="shared" si="3"/>
        <v>0</v>
      </c>
      <c r="T14" s="60">
        <f t="shared" si="4"/>
        <v>74387.82</v>
      </c>
      <c r="U14" s="60">
        <f>(P14*VLOOKUP(E14,$V$2:$X$6,3,FALSE))+(K14*Q14*VLOOKUP(E14,$V$2:$X$6,2,FALSE))+(R14*L14*VLOOKUP(E14,$V$2:$X$6,2,FALSE))</f>
        <v>74387.8225</v>
      </c>
    </row>
    <row r="15" ht="30" spans="1:21">
      <c r="A15" s="41">
        <v>6</v>
      </c>
      <c r="B15" s="42" t="s">
        <v>41</v>
      </c>
      <c r="C15" s="41" t="s">
        <v>34</v>
      </c>
      <c r="D15" s="43" t="s">
        <v>35</v>
      </c>
      <c r="E15" s="41">
        <v>5</v>
      </c>
      <c r="F15" s="41" t="s">
        <v>36</v>
      </c>
      <c r="G15" s="45">
        <v>0.25</v>
      </c>
      <c r="H15" s="44">
        <v>0</v>
      </c>
      <c r="I15" s="45">
        <v>0.75</v>
      </c>
      <c r="J15" s="59">
        <v>131.6</v>
      </c>
      <c r="K15" s="59">
        <f t="shared" si="0"/>
        <v>32.9</v>
      </c>
      <c r="L15" s="59">
        <f t="shared" si="1"/>
        <v>98.7</v>
      </c>
      <c r="M15" s="41">
        <v>0</v>
      </c>
      <c r="N15" s="41">
        <v>23</v>
      </c>
      <c r="O15" s="41">
        <f t="shared" si="2"/>
        <v>23</v>
      </c>
      <c r="P15" s="60">
        <v>8762.2625</v>
      </c>
      <c r="Q15" s="60">
        <v>2.67</v>
      </c>
      <c r="R15" s="60">
        <v>3.6</v>
      </c>
      <c r="S15" s="60">
        <f t="shared" si="3"/>
        <v>0</v>
      </c>
      <c r="T15" s="60">
        <f t="shared" si="4"/>
        <v>85911.8</v>
      </c>
      <c r="U15" s="60">
        <f>(P15*VLOOKUP(E15,$V$2:$X$6,3,FALSE))+(K15*Q15*VLOOKUP(E15,$V$2:$X$6,2,FALSE))+(R15*L15*VLOOKUP(E15,$V$2:$X$6,2,FALSE))</f>
        <v>85911.7975</v>
      </c>
    </row>
    <row r="16" ht="30" spans="1:21">
      <c r="A16" s="41">
        <v>7</v>
      </c>
      <c r="B16" s="42" t="s">
        <v>42</v>
      </c>
      <c r="C16" s="41" t="s">
        <v>34</v>
      </c>
      <c r="D16" s="43" t="s">
        <v>35</v>
      </c>
      <c r="E16" s="41">
        <v>5</v>
      </c>
      <c r="F16" s="41" t="s">
        <v>36</v>
      </c>
      <c r="G16" s="44">
        <v>0.07</v>
      </c>
      <c r="H16" s="44">
        <v>0</v>
      </c>
      <c r="I16" s="44">
        <v>0.93</v>
      </c>
      <c r="J16" s="59">
        <v>90.2</v>
      </c>
      <c r="K16" s="59">
        <f t="shared" si="0"/>
        <v>6.3</v>
      </c>
      <c r="L16" s="59">
        <f t="shared" si="1"/>
        <v>83.9</v>
      </c>
      <c r="M16" s="41">
        <v>0</v>
      </c>
      <c r="N16" s="41">
        <v>20</v>
      </c>
      <c r="O16" s="41">
        <f t="shared" si="2"/>
        <v>20</v>
      </c>
      <c r="P16" s="60">
        <v>8762.2625</v>
      </c>
      <c r="Q16" s="60">
        <v>2.67</v>
      </c>
      <c r="R16" s="60">
        <v>3.6</v>
      </c>
      <c r="S16" s="60">
        <f t="shared" si="3"/>
        <v>0</v>
      </c>
      <c r="T16" s="60">
        <f t="shared" si="4"/>
        <v>74103.11</v>
      </c>
      <c r="U16" s="60">
        <f>(P16*VLOOKUP(E16,$V$2:$X$6,3,FALSE))+(K16*Q16*VLOOKUP(E16,$V$2:$X$6,2,FALSE))+(R16*L16*VLOOKUP(E16,$V$2:$X$6,2,FALSE))</f>
        <v>74103.1075</v>
      </c>
    </row>
    <row r="17" ht="36" customHeight="1" spans="1:21">
      <c r="A17" s="46">
        <v>8</v>
      </c>
      <c r="B17" s="47" t="s">
        <v>43</v>
      </c>
      <c r="C17" s="47" t="s">
        <v>44</v>
      </c>
      <c r="D17" s="48" t="s">
        <v>35</v>
      </c>
      <c r="E17" s="46">
        <v>5</v>
      </c>
      <c r="F17" s="46" t="s">
        <v>36</v>
      </c>
      <c r="G17" s="45">
        <v>0.1</v>
      </c>
      <c r="H17" s="44">
        <v>0</v>
      </c>
      <c r="I17" s="45">
        <v>0.9</v>
      </c>
      <c r="J17" s="59">
        <v>134.8</v>
      </c>
      <c r="K17" s="59">
        <f t="shared" si="0"/>
        <v>13.5</v>
      </c>
      <c r="L17" s="59">
        <f t="shared" si="1"/>
        <v>121.3</v>
      </c>
      <c r="M17" s="46">
        <v>0</v>
      </c>
      <c r="N17" s="46">
        <v>19</v>
      </c>
      <c r="O17" s="46">
        <f t="shared" si="2"/>
        <v>19</v>
      </c>
      <c r="P17" s="61">
        <v>8904.51</v>
      </c>
      <c r="Q17" s="61">
        <v>2.74</v>
      </c>
      <c r="R17" s="61">
        <v>3.7</v>
      </c>
      <c r="S17" s="61">
        <f t="shared" si="3"/>
        <v>0</v>
      </c>
      <c r="T17" s="61">
        <f t="shared" si="4"/>
        <v>90673.55</v>
      </c>
      <c r="U17" s="61">
        <f>(P17*VLOOKUP(E17,$V$2:$X$6,3,FALSE))+(K17*Q17*VLOOKUP(E17,$V$2:$X$6,2,FALSE))+(R17*L17*VLOOKUP(E17,$V$2:$X$6,2,FALSE))</f>
        <v>90673.55</v>
      </c>
    </row>
    <row r="18" ht="30" spans="1:21">
      <c r="A18" s="41">
        <v>9</v>
      </c>
      <c r="B18" s="42" t="s">
        <v>45</v>
      </c>
      <c r="C18" s="41" t="s">
        <v>34</v>
      </c>
      <c r="D18" s="43" t="s">
        <v>35</v>
      </c>
      <c r="E18" s="41">
        <v>5</v>
      </c>
      <c r="F18" s="41" t="s">
        <v>36</v>
      </c>
      <c r="G18" s="45">
        <v>0.4</v>
      </c>
      <c r="H18" s="44">
        <v>0</v>
      </c>
      <c r="I18" s="45">
        <v>0.6</v>
      </c>
      <c r="J18" s="59">
        <v>60.8</v>
      </c>
      <c r="K18" s="59">
        <f t="shared" si="0"/>
        <v>24.3</v>
      </c>
      <c r="L18" s="59">
        <f t="shared" si="1"/>
        <v>36.5</v>
      </c>
      <c r="M18" s="41">
        <v>0</v>
      </c>
      <c r="N18" s="41">
        <v>22</v>
      </c>
      <c r="O18" s="41">
        <f t="shared" si="2"/>
        <v>22</v>
      </c>
      <c r="P18" s="60">
        <v>8762.2625</v>
      </c>
      <c r="Q18" s="60">
        <v>2.67</v>
      </c>
      <c r="R18" s="60">
        <v>3.6</v>
      </c>
      <c r="S18" s="60">
        <f t="shared" si="3"/>
        <v>0</v>
      </c>
      <c r="T18" s="60">
        <f t="shared" si="4"/>
        <v>62458.01</v>
      </c>
      <c r="U18" s="60">
        <f>(P18*VLOOKUP(E18,$V$2:$X$6,3,FALSE))+(K18*Q18*VLOOKUP(E18,$V$2:$X$6,2,FALSE))+(R18*L18*VLOOKUP(E18,$V$2:$X$6,2,FALSE))</f>
        <v>62458.0075</v>
      </c>
    </row>
    <row r="19" ht="30" spans="1:21">
      <c r="A19" s="41">
        <v>10</v>
      </c>
      <c r="B19" s="42" t="s">
        <v>46</v>
      </c>
      <c r="C19" s="41" t="s">
        <v>34</v>
      </c>
      <c r="D19" s="43" t="s">
        <v>35</v>
      </c>
      <c r="E19" s="41">
        <v>5</v>
      </c>
      <c r="F19" s="41" t="s">
        <v>36</v>
      </c>
      <c r="G19" s="45">
        <v>0.3</v>
      </c>
      <c r="H19" s="44">
        <v>0</v>
      </c>
      <c r="I19" s="45">
        <v>0.7</v>
      </c>
      <c r="J19" s="59">
        <v>58</v>
      </c>
      <c r="K19" s="59">
        <f t="shared" si="0"/>
        <v>17.4</v>
      </c>
      <c r="L19" s="59">
        <f t="shared" si="1"/>
        <v>40.6</v>
      </c>
      <c r="M19" s="41">
        <v>0</v>
      </c>
      <c r="N19" s="41">
        <v>20</v>
      </c>
      <c r="O19" s="41">
        <f t="shared" si="2"/>
        <v>20</v>
      </c>
      <c r="P19" s="60">
        <v>8762.2625</v>
      </c>
      <c r="Q19" s="60">
        <v>2.67</v>
      </c>
      <c r="R19" s="60">
        <v>3.6</v>
      </c>
      <c r="S19" s="60">
        <f t="shared" si="3"/>
        <v>0</v>
      </c>
      <c r="T19" s="60">
        <f t="shared" si="4"/>
        <v>62110.02</v>
      </c>
      <c r="U19" s="60">
        <f>(P19*VLOOKUP(E19,$V$2:$X$6,3,FALSE))+(K19*Q19*VLOOKUP(E19,$V$2:$X$6,2,FALSE))+(R19*L19*VLOOKUP(E19,$V$2:$X$6,2,FALSE))</f>
        <v>62110.0225</v>
      </c>
    </row>
    <row r="20" ht="30" spans="1:21">
      <c r="A20" s="41">
        <v>11</v>
      </c>
      <c r="B20" s="42" t="s">
        <v>47</v>
      </c>
      <c r="C20" s="41" t="s">
        <v>48</v>
      </c>
      <c r="D20" s="43" t="s">
        <v>35</v>
      </c>
      <c r="E20" s="41">
        <v>5</v>
      </c>
      <c r="F20" s="41" t="s">
        <v>36</v>
      </c>
      <c r="G20" s="44">
        <v>1</v>
      </c>
      <c r="H20" s="44">
        <v>0</v>
      </c>
      <c r="I20" s="44">
        <v>0</v>
      </c>
      <c r="J20" s="59">
        <v>6</v>
      </c>
      <c r="K20" s="59">
        <f t="shared" si="0"/>
        <v>6</v>
      </c>
      <c r="L20" s="59">
        <f t="shared" si="1"/>
        <v>0</v>
      </c>
      <c r="M20" s="41">
        <v>0</v>
      </c>
      <c r="N20" s="41">
        <v>43</v>
      </c>
      <c r="O20" s="41">
        <f t="shared" si="2"/>
        <v>43</v>
      </c>
      <c r="P20" s="60">
        <v>8668.32</v>
      </c>
      <c r="Q20" s="60">
        <v>3.37</v>
      </c>
      <c r="R20" s="60">
        <v>4.54</v>
      </c>
      <c r="S20" s="60">
        <f t="shared" si="3"/>
        <v>0</v>
      </c>
      <c r="T20" s="60">
        <f t="shared" si="4"/>
        <v>45262.5</v>
      </c>
      <c r="U20" s="60">
        <f>(P20*VLOOKUP(E20,$V$2:$X$6,3,FALSE))+(K20*Q20*VLOOKUP(E20,$V$2:$X$6,2,FALSE))+(R20*L20*VLOOKUP(E20,$V$2:$X$6,2,FALSE))</f>
        <v>45262.5</v>
      </c>
    </row>
    <row r="21" ht="30" spans="1:21">
      <c r="A21" s="41">
        <v>12</v>
      </c>
      <c r="B21" s="42" t="s">
        <v>49</v>
      </c>
      <c r="C21" s="41" t="s">
        <v>50</v>
      </c>
      <c r="D21" s="43" t="s">
        <v>35</v>
      </c>
      <c r="E21" s="41">
        <v>5</v>
      </c>
      <c r="F21" s="41" t="s">
        <v>36</v>
      </c>
      <c r="G21" s="44">
        <v>1</v>
      </c>
      <c r="H21" s="44">
        <v>0</v>
      </c>
      <c r="I21" s="44">
        <v>0</v>
      </c>
      <c r="J21" s="59">
        <v>6.8</v>
      </c>
      <c r="K21" s="59">
        <f t="shared" si="0"/>
        <v>6.8</v>
      </c>
      <c r="L21" s="59">
        <f t="shared" si="1"/>
        <v>0</v>
      </c>
      <c r="M21" s="41">
        <v>0</v>
      </c>
      <c r="N21" s="41">
        <v>79</v>
      </c>
      <c r="O21" s="41">
        <f t="shared" si="2"/>
        <v>79</v>
      </c>
      <c r="P21" s="60">
        <v>8868.1258</v>
      </c>
      <c r="Q21" s="60">
        <v>3.88</v>
      </c>
      <c r="R21" s="60">
        <v>5.24</v>
      </c>
      <c r="S21" s="60">
        <f t="shared" si="3"/>
        <v>0</v>
      </c>
      <c r="T21" s="60">
        <f t="shared" si="4"/>
        <v>46847.11</v>
      </c>
      <c r="U21" s="60">
        <f>(P21*VLOOKUP(E21,$V$2:$X$6,3,FALSE))+(K21*Q21*VLOOKUP(E21,$V$2:$X$6,2,FALSE))+(R21*L21*VLOOKUP(E21,$V$2:$X$6,2,FALSE))</f>
        <v>46847.109</v>
      </c>
    </row>
    <row r="22" ht="30" spans="1:21">
      <c r="A22" s="41">
        <v>13</v>
      </c>
      <c r="B22" s="42" t="s">
        <v>51</v>
      </c>
      <c r="C22" s="41" t="s">
        <v>34</v>
      </c>
      <c r="D22" s="43" t="s">
        <v>35</v>
      </c>
      <c r="E22" s="41">
        <v>5</v>
      </c>
      <c r="F22" s="41" t="s">
        <v>36</v>
      </c>
      <c r="G22" s="45">
        <v>0.59</v>
      </c>
      <c r="H22" s="44">
        <v>0</v>
      </c>
      <c r="I22" s="45">
        <v>0.41</v>
      </c>
      <c r="J22" s="59">
        <v>87.3</v>
      </c>
      <c r="K22" s="59">
        <f t="shared" si="0"/>
        <v>51.5</v>
      </c>
      <c r="L22" s="59">
        <f t="shared" si="1"/>
        <v>35.8</v>
      </c>
      <c r="M22" s="41">
        <v>0</v>
      </c>
      <c r="N22" s="41">
        <v>28</v>
      </c>
      <c r="O22" s="41">
        <f t="shared" si="2"/>
        <v>28</v>
      </c>
      <c r="P22" s="60">
        <v>8762.2625</v>
      </c>
      <c r="Q22" s="60">
        <v>2.67</v>
      </c>
      <c r="R22" s="60">
        <v>3.6</v>
      </c>
      <c r="S22" s="60">
        <f t="shared" si="3"/>
        <v>0</v>
      </c>
      <c r="T22" s="60">
        <f t="shared" si="4"/>
        <v>69117.89</v>
      </c>
      <c r="U22" s="60">
        <f>(P22*VLOOKUP(E22,$V$2:$X$6,3,FALSE))+(K22*Q22*VLOOKUP(E22,$V$2:$X$6,2,FALSE))+(R22*L22*VLOOKUP(E22,$V$2:$X$6,2,FALSE))</f>
        <v>69117.8875</v>
      </c>
    </row>
    <row r="23" ht="30" spans="1:21">
      <c r="A23" s="41">
        <v>14</v>
      </c>
      <c r="B23" s="42" t="s">
        <v>52</v>
      </c>
      <c r="C23" s="41" t="s">
        <v>50</v>
      </c>
      <c r="D23" s="43" t="s">
        <v>35</v>
      </c>
      <c r="E23" s="41">
        <v>5</v>
      </c>
      <c r="F23" s="41" t="s">
        <v>36</v>
      </c>
      <c r="G23" s="44">
        <v>1</v>
      </c>
      <c r="H23" s="44">
        <v>0</v>
      </c>
      <c r="I23" s="44">
        <v>0</v>
      </c>
      <c r="J23" s="59">
        <v>34</v>
      </c>
      <c r="K23" s="59">
        <f t="shared" si="0"/>
        <v>34</v>
      </c>
      <c r="L23" s="59">
        <f t="shared" si="1"/>
        <v>0</v>
      </c>
      <c r="M23" s="41">
        <v>0</v>
      </c>
      <c r="N23" s="41">
        <v>80</v>
      </c>
      <c r="O23" s="41">
        <f t="shared" si="2"/>
        <v>80</v>
      </c>
      <c r="P23" s="60">
        <v>8868.1258</v>
      </c>
      <c r="Q23" s="60">
        <v>3.88</v>
      </c>
      <c r="R23" s="60">
        <v>5.24</v>
      </c>
      <c r="S23" s="60">
        <f t="shared" si="3"/>
        <v>0</v>
      </c>
      <c r="T23" s="60">
        <f t="shared" si="4"/>
        <v>56873.03</v>
      </c>
      <c r="U23" s="60">
        <f>(P23*VLOOKUP(E23,$V$2:$X$6,3,FALSE))+(K23*Q23*VLOOKUP(E23,$V$2:$X$6,2,FALSE))+(R23*L23*VLOOKUP(E23,$V$2:$X$6,2,FALSE))</f>
        <v>56873.029</v>
      </c>
    </row>
    <row r="24" ht="30" spans="1:21">
      <c r="A24" s="41">
        <v>15</v>
      </c>
      <c r="B24" s="42" t="s">
        <v>53</v>
      </c>
      <c r="C24" s="41" t="s">
        <v>50</v>
      </c>
      <c r="D24" s="43" t="s">
        <v>35</v>
      </c>
      <c r="E24" s="41">
        <v>5</v>
      </c>
      <c r="F24" s="41" t="s">
        <v>36</v>
      </c>
      <c r="G24" s="44">
        <v>1</v>
      </c>
      <c r="H24" s="44">
        <v>0</v>
      </c>
      <c r="I24" s="44">
        <v>0</v>
      </c>
      <c r="J24" s="59">
        <v>18.4</v>
      </c>
      <c r="K24" s="59">
        <f t="shared" si="0"/>
        <v>18.4</v>
      </c>
      <c r="L24" s="59">
        <f t="shared" si="1"/>
        <v>0</v>
      </c>
      <c r="M24" s="41">
        <v>0</v>
      </c>
      <c r="N24" s="41">
        <v>79</v>
      </c>
      <c r="O24" s="41">
        <f t="shared" si="2"/>
        <v>79</v>
      </c>
      <c r="P24" s="60">
        <v>8868.1258</v>
      </c>
      <c r="Q24" s="60">
        <v>3.88</v>
      </c>
      <c r="R24" s="60">
        <v>5.24</v>
      </c>
      <c r="S24" s="60">
        <f t="shared" si="3"/>
        <v>0</v>
      </c>
      <c r="T24" s="60">
        <f t="shared" si="4"/>
        <v>51122.87</v>
      </c>
      <c r="U24" s="60">
        <f>(P24*VLOOKUP(E24,$V$2:$X$6,3,FALSE))+(K24*Q24*VLOOKUP(E24,$V$2:$X$6,2,FALSE))+(R24*L24*VLOOKUP(E24,$V$2:$X$6,2,FALSE))</f>
        <v>51122.869</v>
      </c>
    </row>
    <row r="25" ht="30" spans="1:21">
      <c r="A25" s="41">
        <v>16</v>
      </c>
      <c r="B25" s="42" t="s">
        <v>54</v>
      </c>
      <c r="C25" s="41" t="s">
        <v>48</v>
      </c>
      <c r="D25" s="43" t="s">
        <v>35</v>
      </c>
      <c r="E25" s="41">
        <v>5</v>
      </c>
      <c r="F25" s="41" t="s">
        <v>36</v>
      </c>
      <c r="G25" s="45">
        <v>0.3</v>
      </c>
      <c r="H25" s="44">
        <v>0</v>
      </c>
      <c r="I25" s="45">
        <v>0.7</v>
      </c>
      <c r="J25" s="59">
        <v>52.8</v>
      </c>
      <c r="K25" s="59">
        <f t="shared" si="0"/>
        <v>15.8</v>
      </c>
      <c r="L25" s="59">
        <f t="shared" si="1"/>
        <v>37</v>
      </c>
      <c r="M25" s="41">
        <v>0</v>
      </c>
      <c r="N25" s="41">
        <v>43</v>
      </c>
      <c r="O25" s="41">
        <f t="shared" si="2"/>
        <v>43</v>
      </c>
      <c r="P25" s="60">
        <v>8668.32</v>
      </c>
      <c r="Q25" s="60">
        <v>3.37</v>
      </c>
      <c r="R25" s="60">
        <v>4.54</v>
      </c>
      <c r="S25" s="60">
        <f t="shared" si="3"/>
        <v>0</v>
      </c>
      <c r="T25" s="60">
        <f t="shared" si="4"/>
        <v>64358.07</v>
      </c>
      <c r="U25" s="60">
        <f>(P25*VLOOKUP(E25,$V$2:$X$6,3,FALSE))+(K25*Q25*VLOOKUP(E25,$V$2:$X$6,2,FALSE))+(R25*L25*VLOOKUP(E25,$V$2:$X$6,2,FALSE))</f>
        <v>64358.07</v>
      </c>
    </row>
    <row r="26" ht="30" spans="1:21">
      <c r="A26" s="41">
        <v>17</v>
      </c>
      <c r="B26" s="42" t="s">
        <v>55</v>
      </c>
      <c r="C26" s="41" t="s">
        <v>48</v>
      </c>
      <c r="D26" s="43" t="s">
        <v>35</v>
      </c>
      <c r="E26" s="41">
        <v>5</v>
      </c>
      <c r="F26" s="41" t="s">
        <v>36</v>
      </c>
      <c r="G26" s="45">
        <v>0.25</v>
      </c>
      <c r="H26" s="44">
        <v>0</v>
      </c>
      <c r="I26" s="45">
        <v>0.75</v>
      </c>
      <c r="J26" s="59">
        <v>87.6</v>
      </c>
      <c r="K26" s="59">
        <f t="shared" si="0"/>
        <v>21.9</v>
      </c>
      <c r="L26" s="59">
        <f t="shared" si="1"/>
        <v>65.7</v>
      </c>
      <c r="M26" s="41">
        <v>0</v>
      </c>
      <c r="N26" s="41">
        <v>41</v>
      </c>
      <c r="O26" s="41">
        <f t="shared" si="2"/>
        <v>41</v>
      </c>
      <c r="P26" s="60">
        <v>8668.32</v>
      </c>
      <c r="Q26" s="60">
        <v>3.37</v>
      </c>
      <c r="R26" s="60">
        <v>4.54</v>
      </c>
      <c r="S26" s="60">
        <f t="shared" si="3"/>
        <v>0</v>
      </c>
      <c r="T26" s="60">
        <f t="shared" si="4"/>
        <v>78689.3</v>
      </c>
      <c r="U26" s="60">
        <f>(P26*VLOOKUP(E26,$V$2:$X$6,3,FALSE))+(K26*Q26*VLOOKUP(E26,$V$2:$X$6,2,FALSE))+(R26*L26*VLOOKUP(E26,$V$2:$X$6,2,FALSE))</f>
        <v>78689.295</v>
      </c>
    </row>
    <row r="27" ht="30" spans="1:21">
      <c r="A27" s="41">
        <v>18</v>
      </c>
      <c r="B27" s="42" t="s">
        <v>56</v>
      </c>
      <c r="C27" s="41" t="s">
        <v>50</v>
      </c>
      <c r="D27" s="43" t="s">
        <v>35</v>
      </c>
      <c r="E27" s="41">
        <v>5</v>
      </c>
      <c r="F27" s="41" t="s">
        <v>36</v>
      </c>
      <c r="G27" s="45">
        <v>0.3</v>
      </c>
      <c r="H27" s="44">
        <v>0</v>
      </c>
      <c r="I27" s="45">
        <v>0.7</v>
      </c>
      <c r="J27" s="59">
        <v>45.9</v>
      </c>
      <c r="K27" s="59">
        <f t="shared" si="0"/>
        <v>13.8</v>
      </c>
      <c r="L27" s="59">
        <f t="shared" si="1"/>
        <v>32.1</v>
      </c>
      <c r="M27" s="41">
        <v>0</v>
      </c>
      <c r="N27" s="41">
        <v>78</v>
      </c>
      <c r="O27" s="41">
        <f t="shared" si="2"/>
        <v>78</v>
      </c>
      <c r="P27" s="60">
        <v>8868.1258</v>
      </c>
      <c r="Q27" s="60">
        <v>3.88</v>
      </c>
      <c r="R27" s="60">
        <v>5.24</v>
      </c>
      <c r="S27" s="60">
        <f t="shared" si="3"/>
        <v>0</v>
      </c>
      <c r="T27" s="60">
        <f t="shared" si="4"/>
        <v>65406.69</v>
      </c>
      <c r="U27" s="60">
        <f>(P27*VLOOKUP(E27,$V$2:$X$6,3,FALSE))+(K27*Q27*VLOOKUP(E27,$V$2:$X$6,2,FALSE))+(R27*L27*VLOOKUP(E27,$V$2:$X$6,2,FALSE))</f>
        <v>65406.689</v>
      </c>
    </row>
    <row r="28" ht="30" spans="1:21">
      <c r="A28" s="41">
        <v>19</v>
      </c>
      <c r="B28" s="42" t="s">
        <v>57</v>
      </c>
      <c r="C28" s="41" t="s">
        <v>48</v>
      </c>
      <c r="D28" s="43" t="s">
        <v>35</v>
      </c>
      <c r="E28" s="41">
        <v>5</v>
      </c>
      <c r="F28" s="41" t="s">
        <v>36</v>
      </c>
      <c r="G28" s="44">
        <v>0</v>
      </c>
      <c r="H28" s="44">
        <v>0</v>
      </c>
      <c r="I28" s="44">
        <v>1</v>
      </c>
      <c r="J28" s="59">
        <v>56.7</v>
      </c>
      <c r="K28" s="59">
        <f t="shared" si="0"/>
        <v>0</v>
      </c>
      <c r="L28" s="59">
        <f t="shared" si="1"/>
        <v>56.7</v>
      </c>
      <c r="M28" s="41">
        <v>0</v>
      </c>
      <c r="N28" s="41">
        <v>39</v>
      </c>
      <c r="O28" s="41">
        <f t="shared" si="2"/>
        <v>39</v>
      </c>
      <c r="P28" s="60">
        <v>8668.32</v>
      </c>
      <c r="Q28" s="60">
        <v>3.37</v>
      </c>
      <c r="R28" s="60">
        <v>4.54</v>
      </c>
      <c r="S28" s="60">
        <f t="shared" si="3"/>
        <v>0</v>
      </c>
      <c r="T28" s="60">
        <f t="shared" si="4"/>
        <v>67796.31</v>
      </c>
      <c r="U28" s="60">
        <f>(P28*VLOOKUP(E28,$V$2:$X$6,3,FALSE))+(K28*Q28*VLOOKUP(E28,$V$2:$X$6,2,FALSE))+(R28*L28*VLOOKUP(E28,$V$2:$X$6,2,FALSE))</f>
        <v>67796.31</v>
      </c>
    </row>
    <row r="29" ht="30" spans="1:21">
      <c r="A29" s="41">
        <v>20</v>
      </c>
      <c r="B29" s="42" t="s">
        <v>58</v>
      </c>
      <c r="C29" s="41" t="s">
        <v>48</v>
      </c>
      <c r="D29" s="43" t="s">
        <v>35</v>
      </c>
      <c r="E29" s="41">
        <v>5</v>
      </c>
      <c r="F29" s="41" t="s">
        <v>36</v>
      </c>
      <c r="G29" s="44">
        <v>0</v>
      </c>
      <c r="H29" s="44">
        <v>0</v>
      </c>
      <c r="I29" s="44">
        <v>1</v>
      </c>
      <c r="J29" s="59">
        <v>67.5</v>
      </c>
      <c r="K29" s="59">
        <f t="shared" si="0"/>
        <v>0</v>
      </c>
      <c r="L29" s="59">
        <f t="shared" si="1"/>
        <v>67.5</v>
      </c>
      <c r="M29" s="41">
        <v>0</v>
      </c>
      <c r="N29" s="41">
        <v>43</v>
      </c>
      <c r="O29" s="41">
        <f t="shared" si="2"/>
        <v>43</v>
      </c>
      <c r="P29" s="60">
        <v>8668.32</v>
      </c>
      <c r="Q29" s="60">
        <v>3.37</v>
      </c>
      <c r="R29" s="60">
        <v>4.54</v>
      </c>
      <c r="S29" s="60">
        <f t="shared" si="3"/>
        <v>0</v>
      </c>
      <c r="T29" s="60">
        <f t="shared" si="4"/>
        <v>72454.35</v>
      </c>
      <c r="U29" s="60">
        <f>(P29*VLOOKUP(E29,$V$2:$X$6,3,FALSE))+(K29*Q29*VLOOKUP(E29,$V$2:$X$6,2,FALSE))+(R29*L29*VLOOKUP(E29,$V$2:$X$6,2,FALSE))</f>
        <v>72454.35</v>
      </c>
    </row>
    <row r="30" ht="30" spans="1:21">
      <c r="A30" s="41">
        <v>21</v>
      </c>
      <c r="B30" s="42" t="s">
        <v>59</v>
      </c>
      <c r="C30" s="41" t="s">
        <v>48</v>
      </c>
      <c r="D30" s="43" t="s">
        <v>35</v>
      </c>
      <c r="E30" s="41">
        <v>5</v>
      </c>
      <c r="F30" s="41" t="s">
        <v>36</v>
      </c>
      <c r="G30" s="44">
        <v>0</v>
      </c>
      <c r="H30" s="44">
        <v>0</v>
      </c>
      <c r="I30" s="44">
        <v>1</v>
      </c>
      <c r="J30" s="41">
        <v>62.4</v>
      </c>
      <c r="K30" s="59">
        <f t="shared" si="0"/>
        <v>0</v>
      </c>
      <c r="L30" s="59">
        <f t="shared" si="1"/>
        <v>62.4</v>
      </c>
      <c r="M30" s="41">
        <v>0</v>
      </c>
      <c r="N30" s="41">
        <v>41</v>
      </c>
      <c r="O30" s="41">
        <f t="shared" si="2"/>
        <v>41</v>
      </c>
      <c r="P30" s="60">
        <v>8668.32</v>
      </c>
      <c r="Q30" s="60">
        <v>3.37</v>
      </c>
      <c r="R30" s="60">
        <v>4.54</v>
      </c>
      <c r="S30" s="60">
        <f t="shared" si="3"/>
        <v>0</v>
      </c>
      <c r="T30" s="60">
        <f t="shared" si="4"/>
        <v>70254.72</v>
      </c>
      <c r="U30" s="60">
        <f>(P30*VLOOKUP(E30,$V$2:$X$6,3,FALSE))+(K30*Q30*VLOOKUP(E30,$V$2:$X$6,2,FALSE))+(R30*L30*VLOOKUP(E30,$V$2:$X$6,2,FALSE))</f>
        <v>70254.72</v>
      </c>
    </row>
    <row r="31" ht="30" spans="1:21">
      <c r="A31" s="41">
        <v>22</v>
      </c>
      <c r="B31" s="42" t="s">
        <v>60</v>
      </c>
      <c r="C31" s="41" t="s">
        <v>48</v>
      </c>
      <c r="D31" s="43" t="s">
        <v>35</v>
      </c>
      <c r="E31" s="41">
        <v>5</v>
      </c>
      <c r="F31" s="41" t="s">
        <v>36</v>
      </c>
      <c r="G31" s="45">
        <v>0.5</v>
      </c>
      <c r="H31" s="44">
        <v>0</v>
      </c>
      <c r="I31" s="45">
        <v>0.5</v>
      </c>
      <c r="J31" s="59">
        <v>71.2</v>
      </c>
      <c r="K31" s="59">
        <f t="shared" si="0"/>
        <v>35.6</v>
      </c>
      <c r="L31" s="59">
        <f t="shared" si="1"/>
        <v>35.6</v>
      </c>
      <c r="M31" s="41">
        <v>0</v>
      </c>
      <c r="N31" s="41">
        <v>39</v>
      </c>
      <c r="O31" s="41">
        <f t="shared" si="2"/>
        <v>39</v>
      </c>
      <c r="P31" s="60">
        <v>8668.32</v>
      </c>
      <c r="Q31" s="60">
        <v>3.37</v>
      </c>
      <c r="R31" s="60">
        <v>4.54</v>
      </c>
      <c r="S31" s="60">
        <f t="shared" si="3"/>
        <v>0</v>
      </c>
      <c r="T31" s="60">
        <f t="shared" si="4"/>
        <v>70093.22</v>
      </c>
      <c r="U31" s="60">
        <f>(P31*VLOOKUP(E31,$V$2:$X$6,3,FALSE))+(K31*Q31*VLOOKUP(E31,$V$2:$X$6,2,FALSE))+(R31*L31*VLOOKUP(E31,$V$2:$X$6,2,FALSE))</f>
        <v>70093.22</v>
      </c>
    </row>
    <row r="32" ht="25" customHeight="1" spans="1:21">
      <c r="A32" s="49" t="s">
        <v>61</v>
      </c>
      <c r="B32" s="50"/>
      <c r="C32" s="51"/>
      <c r="D32" s="52"/>
      <c r="E32" s="53"/>
      <c r="F32" s="53"/>
      <c r="G32" s="54"/>
      <c r="H32" s="54"/>
      <c r="I32" s="54"/>
      <c r="J32" s="53">
        <f t="shared" ref="J32:O32" si="5">SUM(J10:J31)</f>
        <v>1517</v>
      </c>
      <c r="K32" s="53">
        <f t="shared" si="5"/>
        <v>344.8</v>
      </c>
      <c r="L32" s="53">
        <f t="shared" si="5"/>
        <v>1172.2</v>
      </c>
      <c r="M32" s="53">
        <f t="shared" si="5"/>
        <v>0</v>
      </c>
      <c r="N32" s="53">
        <f t="shared" si="5"/>
        <v>862</v>
      </c>
      <c r="O32" s="53">
        <f t="shared" si="5"/>
        <v>862</v>
      </c>
      <c r="P32" s="62">
        <f t="shared" ref="P32:R32" si="6">AVERAGE(P10:P31)</f>
        <v>8758.08537272727</v>
      </c>
      <c r="Q32" s="62">
        <f t="shared" si="6"/>
        <v>3.11590909090909</v>
      </c>
      <c r="R32" s="62">
        <f t="shared" si="6"/>
        <v>4.20181818181818</v>
      </c>
      <c r="S32" s="62">
        <f t="shared" ref="S32:U32" si="7">SUM(S10:S31)</f>
        <v>0</v>
      </c>
      <c r="T32" s="62">
        <f t="shared" si="7"/>
        <v>1500661.99</v>
      </c>
      <c r="U32" s="62">
        <f t="shared" si="7"/>
        <v>1500661.986</v>
      </c>
    </row>
    <row r="33" ht="19" customHeight="1" spans="1:21">
      <c r="A33" s="65"/>
      <c r="B33" s="66"/>
      <c r="C33" s="66"/>
      <c r="D33" s="66"/>
      <c r="E33" s="66"/>
      <c r="F33" s="66"/>
      <c r="G33" s="66"/>
      <c r="H33" s="66"/>
      <c r="I33" s="66"/>
      <c r="J33" s="66"/>
      <c r="K33" s="66"/>
      <c r="L33" s="66"/>
      <c r="M33" s="66"/>
      <c r="N33" s="66"/>
      <c r="O33" s="66"/>
      <c r="P33" s="66"/>
      <c r="Q33" s="66"/>
      <c r="R33" s="66"/>
      <c r="S33" s="66"/>
      <c r="T33" s="66"/>
      <c r="U33" s="67"/>
    </row>
    <row r="34" ht="106" customHeight="1" spans="1:21">
      <c r="A34" s="58" t="s">
        <v>64</v>
      </c>
      <c r="B34" s="58"/>
      <c r="C34" s="58"/>
      <c r="D34" s="58"/>
      <c r="E34" s="58"/>
      <c r="F34" s="58"/>
      <c r="G34" s="58"/>
      <c r="H34" s="58"/>
      <c r="I34" s="58"/>
      <c r="J34" s="58"/>
      <c r="K34" s="58"/>
      <c r="L34" s="58"/>
      <c r="M34" s="58"/>
      <c r="N34" s="58"/>
      <c r="O34" s="58"/>
      <c r="P34" s="58"/>
      <c r="Q34" s="58"/>
      <c r="R34" s="58"/>
      <c r="S34" s="58"/>
      <c r="T34" s="58"/>
      <c r="U34" s="58"/>
    </row>
  </sheetData>
  <mergeCells count="9">
    <mergeCell ref="A1:U1"/>
    <mergeCell ref="A2:U2"/>
    <mergeCell ref="A3:U3"/>
    <mergeCell ref="A4:U4"/>
    <mergeCell ref="A5:U5"/>
    <mergeCell ref="A7:U7"/>
    <mergeCell ref="A32:C32"/>
    <mergeCell ref="A33:U33"/>
    <mergeCell ref="A34:U34"/>
  </mergeCells>
  <pageMargins left="0.511811024" right="0.511811024" top="0.787401575" bottom="0.787401575" header="0.31496062" footer="0.31496062"/>
  <pageSetup paperSize="9" scale="46" fitToHeight="0" orientation="landscape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34"/>
  <sheetViews>
    <sheetView showGridLines="0" view="pageBreakPreview" zoomScale="130" zoomScaleNormal="70" topLeftCell="I7" workbookViewId="0">
      <selection activeCell="U15" sqref="U15"/>
    </sheetView>
  </sheetViews>
  <sheetFormatPr defaultColWidth="9" defaultRowHeight="15"/>
  <cols>
    <col min="1" max="1" width="9.71428571428571" style="1" customWidth="1"/>
    <col min="2" max="2" width="17.7142857142857" style="1" customWidth="1"/>
    <col min="3" max="4" width="15.7142857142857" style="1" customWidth="1"/>
    <col min="5" max="5" width="14.7142857142857" style="1" customWidth="1"/>
    <col min="6" max="6" width="12.7142857142857" style="1" customWidth="1"/>
    <col min="7" max="7" width="13.7142857142857" style="1" customWidth="1"/>
    <col min="8" max="8" width="9" style="1" hidden="1" customWidth="1"/>
    <col min="9" max="15" width="13.7142857142857" style="1" customWidth="1"/>
    <col min="16" max="16" width="15.8857142857143" style="1" customWidth="1"/>
    <col min="17" max="18" width="13.7142857142857" style="1" customWidth="1"/>
    <col min="19" max="19" width="15.5333333333333" style="1" customWidth="1"/>
    <col min="20" max="21" width="17.7142857142857" style="1" customWidth="1"/>
    <col min="22" max="22" width="14.2857142857143" style="1" customWidth="1"/>
    <col min="23" max="23" width="10.2857142857143" style="1" customWidth="1"/>
    <col min="24" max="24" width="9.85714285714286" style="1" customWidth="1"/>
    <col min="25" max="25" width="12.7142857142857" style="1" customWidth="1"/>
    <col min="26" max="16384" width="9.14285714285714" style="1"/>
  </cols>
  <sheetData>
    <row r="1" spans="1:25">
      <c r="A1" s="37" t="s">
        <v>0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7"/>
      <c r="P1" s="37"/>
      <c r="Q1" s="37"/>
      <c r="R1" s="37"/>
      <c r="S1" s="37"/>
      <c r="T1" s="37"/>
      <c r="U1" s="37"/>
      <c r="V1" s="64" t="s">
        <v>1</v>
      </c>
      <c r="W1" s="64" t="s">
        <v>2</v>
      </c>
      <c r="X1" s="64" t="s">
        <v>3</v>
      </c>
      <c r="Y1" s="64" t="s">
        <v>4</v>
      </c>
    </row>
    <row r="2" spans="1:25">
      <c r="A2" s="37" t="s">
        <v>5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41">
        <v>5</v>
      </c>
      <c r="W2" s="41">
        <v>110</v>
      </c>
      <c r="X2" s="41">
        <v>6</v>
      </c>
      <c r="Y2" s="41" t="s">
        <v>6</v>
      </c>
    </row>
    <row r="3" spans="1:25">
      <c r="A3" s="37" t="s">
        <v>7</v>
      </c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  <c r="M3" s="37"/>
      <c r="N3" s="37"/>
      <c r="O3" s="37"/>
      <c r="P3" s="37"/>
      <c r="Q3" s="37"/>
      <c r="R3" s="37"/>
      <c r="S3" s="37"/>
      <c r="T3" s="37"/>
      <c r="U3" s="37"/>
      <c r="V3" s="41">
        <v>4</v>
      </c>
      <c r="W3" s="41">
        <f>ROUNDUP(W2/V2*V3,0)</f>
        <v>88</v>
      </c>
      <c r="X3" s="41">
        <v>8</v>
      </c>
      <c r="Y3" s="41"/>
    </row>
    <row r="4" spans="1:25">
      <c r="A4" s="37" t="s">
        <v>8</v>
      </c>
      <c r="B4" s="37"/>
      <c r="C4" s="37"/>
      <c r="D4" s="37"/>
      <c r="E4" s="37"/>
      <c r="F4" s="37"/>
      <c r="G4" s="37"/>
      <c r="H4" s="37"/>
      <c r="I4" s="37"/>
      <c r="J4" s="37"/>
      <c r="K4" s="37"/>
      <c r="L4" s="37"/>
      <c r="M4" s="37"/>
      <c r="N4" s="37"/>
      <c r="O4" s="37"/>
      <c r="P4" s="37"/>
      <c r="Q4" s="37"/>
      <c r="R4" s="37"/>
      <c r="S4" s="37"/>
      <c r="T4" s="37"/>
      <c r="U4" s="37"/>
      <c r="V4" s="41">
        <v>3</v>
      </c>
      <c r="W4" s="41">
        <f>ROUNDUP(W2/V2*V4,0)</f>
        <v>66</v>
      </c>
      <c r="X4" s="41">
        <v>8</v>
      </c>
      <c r="Y4" s="41"/>
    </row>
    <row r="5" spans="1:25">
      <c r="A5" s="37" t="s">
        <v>9</v>
      </c>
      <c r="B5" s="37"/>
      <c r="C5" s="37"/>
      <c r="D5" s="37"/>
      <c r="E5" s="37"/>
      <c r="F5" s="37"/>
      <c r="G5" s="37"/>
      <c r="H5" s="37"/>
      <c r="I5" s="37"/>
      <c r="J5" s="37"/>
      <c r="K5" s="37"/>
      <c r="L5" s="37"/>
      <c r="M5" s="37"/>
      <c r="N5" s="37"/>
      <c r="O5" s="37"/>
      <c r="P5" s="37"/>
      <c r="Q5" s="37"/>
      <c r="R5" s="37"/>
      <c r="S5" s="37"/>
      <c r="T5" s="37"/>
      <c r="U5" s="37"/>
      <c r="V5" s="41">
        <v>2</v>
      </c>
      <c r="W5" s="41">
        <f>ROUNDUP(W2/V2*V5,0)</f>
        <v>44</v>
      </c>
      <c r="X5" s="41">
        <v>8</v>
      </c>
      <c r="Y5" s="41" t="s">
        <v>10</v>
      </c>
    </row>
    <row r="6" ht="14.25" customHeight="1" spans="1:25">
      <c r="A6" s="37"/>
      <c r="B6" s="37"/>
      <c r="C6" s="37"/>
      <c r="D6" s="37"/>
      <c r="E6" s="37"/>
      <c r="F6" s="37"/>
      <c r="G6" s="37"/>
      <c r="H6" s="37"/>
      <c r="I6" s="37"/>
      <c r="J6" s="37"/>
      <c r="K6" s="37"/>
      <c r="L6" s="37"/>
      <c r="M6" s="37"/>
      <c r="N6" s="37"/>
      <c r="O6" s="37"/>
      <c r="P6" s="37"/>
      <c r="Q6" s="37"/>
      <c r="R6" s="37"/>
      <c r="S6" s="37"/>
      <c r="T6" s="37"/>
      <c r="U6" s="37"/>
      <c r="V6" s="41">
        <v>1</v>
      </c>
      <c r="W6" s="41">
        <f>ROUNDUP(W2/V2*V6,0)</f>
        <v>22</v>
      </c>
      <c r="X6" s="41">
        <v>8</v>
      </c>
      <c r="Y6" s="41"/>
    </row>
    <row r="7" ht="31.5" spans="1:21">
      <c r="A7" s="38" t="s">
        <v>65</v>
      </c>
      <c r="B7" s="38"/>
      <c r="C7" s="38"/>
      <c r="D7" s="38"/>
      <c r="E7" s="38"/>
      <c r="F7" s="38"/>
      <c r="G7" s="38"/>
      <c r="H7" s="38"/>
      <c r="I7" s="38"/>
      <c r="J7" s="38"/>
      <c r="K7" s="38"/>
      <c r="L7" s="38"/>
      <c r="M7" s="38"/>
      <c r="N7" s="38"/>
      <c r="O7" s="38"/>
      <c r="P7" s="38"/>
      <c r="Q7" s="38"/>
      <c r="R7" s="38"/>
      <c r="S7" s="38"/>
      <c r="T7" s="38"/>
      <c r="U7" s="38"/>
    </row>
    <row r="8" ht="17" customHeight="1" spans="1:21">
      <c r="A8" s="37"/>
      <c r="B8" s="37"/>
      <c r="C8" s="37"/>
      <c r="D8" s="37"/>
      <c r="E8" s="37"/>
      <c r="F8" s="37"/>
      <c r="G8" s="37"/>
      <c r="H8" s="37"/>
      <c r="I8" s="37"/>
      <c r="J8" s="37"/>
      <c r="K8" s="37"/>
      <c r="L8" s="37"/>
      <c r="M8" s="37"/>
      <c r="N8" s="37"/>
      <c r="O8" s="37"/>
      <c r="P8" s="37"/>
      <c r="Q8" s="37"/>
      <c r="R8" s="37"/>
      <c r="S8" s="37"/>
      <c r="T8" s="37"/>
      <c r="U8" s="37"/>
    </row>
    <row r="9" ht="45" customHeight="1" spans="1:21">
      <c r="A9" s="39" t="s">
        <v>12</v>
      </c>
      <c r="B9" s="40" t="s">
        <v>13</v>
      </c>
      <c r="C9" s="39" t="s">
        <v>14</v>
      </c>
      <c r="D9" s="40" t="s">
        <v>15</v>
      </c>
      <c r="E9" s="40" t="s">
        <v>16</v>
      </c>
      <c r="F9" s="39" t="s">
        <v>17</v>
      </c>
      <c r="G9" s="39" t="s">
        <v>18</v>
      </c>
      <c r="H9" s="39" t="s">
        <v>19</v>
      </c>
      <c r="I9" s="39" t="s">
        <v>20</v>
      </c>
      <c r="J9" s="39" t="s">
        <v>21</v>
      </c>
      <c r="K9" s="39" t="s">
        <v>22</v>
      </c>
      <c r="L9" s="39" t="s">
        <v>23</v>
      </c>
      <c r="M9" s="40" t="s">
        <v>24</v>
      </c>
      <c r="N9" s="40" t="s">
        <v>25</v>
      </c>
      <c r="O9" s="40" t="s">
        <v>26</v>
      </c>
      <c r="P9" s="39" t="s">
        <v>27</v>
      </c>
      <c r="Q9" s="40" t="s">
        <v>28</v>
      </c>
      <c r="R9" s="40" t="s">
        <v>29</v>
      </c>
      <c r="S9" s="40" t="s">
        <v>30</v>
      </c>
      <c r="T9" s="40" t="s">
        <v>31</v>
      </c>
      <c r="U9" s="40" t="s">
        <v>32</v>
      </c>
    </row>
    <row r="10" ht="30" spans="1:21">
      <c r="A10" s="41">
        <v>1</v>
      </c>
      <c r="B10" s="42" t="s">
        <v>33</v>
      </c>
      <c r="C10" s="41" t="s">
        <v>34</v>
      </c>
      <c r="D10" s="43" t="s">
        <v>35</v>
      </c>
      <c r="E10" s="41">
        <v>5</v>
      </c>
      <c r="F10" s="41" t="s">
        <v>36</v>
      </c>
      <c r="G10" s="44">
        <v>0.05</v>
      </c>
      <c r="H10" s="44">
        <v>0</v>
      </c>
      <c r="I10" s="44">
        <v>0.95</v>
      </c>
      <c r="J10" s="59">
        <v>108.7</v>
      </c>
      <c r="K10" s="59">
        <f t="shared" ref="K10:K31" si="0">ROUND(J10*G10,1)</f>
        <v>5.4</v>
      </c>
      <c r="L10" s="59">
        <f t="shared" ref="L10:L31" si="1">ROUND(J10-K10,1)</f>
        <v>103.3</v>
      </c>
      <c r="M10" s="41">
        <v>0</v>
      </c>
      <c r="N10" s="41">
        <v>23</v>
      </c>
      <c r="O10" s="41">
        <f t="shared" ref="O10:O31" si="2">ROUND(M10+N10,0)</f>
        <v>23</v>
      </c>
      <c r="P10" s="60">
        <v>8762.2625</v>
      </c>
      <c r="Q10" s="60">
        <v>2.67</v>
      </c>
      <c r="R10" s="60">
        <v>3.6</v>
      </c>
      <c r="S10" s="60">
        <f t="shared" ref="S10:S31" si="3">ROUND(U10*M10/O10,2)</f>
        <v>0</v>
      </c>
      <c r="T10" s="60">
        <f t="shared" ref="T10:T31" si="4">ROUND(U10-S10,2)</f>
        <v>95066.36</v>
      </c>
      <c r="U10" s="60">
        <f>(P10*VLOOKUP(E10,$V$2:$X$6,3,FALSE))+(K10*Q10*VLOOKUP(E10,$V$2:$X$6,2,FALSE))+(R10*L10*VLOOKUP(E10,$V$2:$X$6,2,FALSE))</f>
        <v>95066.355</v>
      </c>
    </row>
    <row r="11" ht="30" spans="1:21">
      <c r="A11" s="41">
        <v>2</v>
      </c>
      <c r="B11" s="42" t="s">
        <v>37</v>
      </c>
      <c r="C11" s="41" t="s">
        <v>34</v>
      </c>
      <c r="D11" s="43" t="s">
        <v>35</v>
      </c>
      <c r="E11" s="41">
        <v>5</v>
      </c>
      <c r="F11" s="41" t="s">
        <v>36</v>
      </c>
      <c r="G11" s="45">
        <v>0.06</v>
      </c>
      <c r="H11" s="44">
        <v>0</v>
      </c>
      <c r="I11" s="45">
        <v>0.94</v>
      </c>
      <c r="J11" s="59">
        <v>86.1</v>
      </c>
      <c r="K11" s="59">
        <f t="shared" si="0"/>
        <v>5.2</v>
      </c>
      <c r="L11" s="59">
        <f t="shared" si="1"/>
        <v>80.9</v>
      </c>
      <c r="M11" s="41">
        <v>0</v>
      </c>
      <c r="N11" s="41">
        <v>26</v>
      </c>
      <c r="O11" s="41">
        <f t="shared" si="2"/>
        <v>26</v>
      </c>
      <c r="P11" s="60">
        <v>8762.2625</v>
      </c>
      <c r="Q11" s="60">
        <v>2.67</v>
      </c>
      <c r="R11" s="60">
        <v>3.6</v>
      </c>
      <c r="S11" s="60">
        <f t="shared" si="3"/>
        <v>0</v>
      </c>
      <c r="T11" s="60">
        <f t="shared" si="4"/>
        <v>86137.22</v>
      </c>
      <c r="U11" s="60">
        <f>(P11*VLOOKUP(E11,$V$2:$X$6,3,FALSE))+(K11*Q11*VLOOKUP(E11,$V$2:$X$6,2,FALSE))+(R11*L11*VLOOKUP(E11,$V$2:$X$6,2,FALSE))</f>
        <v>86137.215</v>
      </c>
    </row>
    <row r="12" ht="30" spans="1:21">
      <c r="A12" s="41">
        <v>3</v>
      </c>
      <c r="B12" s="42" t="s">
        <v>38</v>
      </c>
      <c r="C12" s="41" t="s">
        <v>34</v>
      </c>
      <c r="D12" s="43" t="s">
        <v>35</v>
      </c>
      <c r="E12" s="41">
        <v>5</v>
      </c>
      <c r="F12" s="41" t="s">
        <v>36</v>
      </c>
      <c r="G12" s="45">
        <v>0.07</v>
      </c>
      <c r="H12" s="44">
        <v>0</v>
      </c>
      <c r="I12" s="45">
        <v>0.93</v>
      </c>
      <c r="J12" s="59">
        <v>74.8</v>
      </c>
      <c r="K12" s="59">
        <f t="shared" si="0"/>
        <v>5.2</v>
      </c>
      <c r="L12" s="59">
        <f t="shared" si="1"/>
        <v>69.6</v>
      </c>
      <c r="M12" s="41">
        <v>0</v>
      </c>
      <c r="N12" s="41">
        <v>25</v>
      </c>
      <c r="O12" s="41">
        <f t="shared" si="2"/>
        <v>25</v>
      </c>
      <c r="P12" s="60">
        <v>8762.2625</v>
      </c>
      <c r="Q12" s="60">
        <v>2.67</v>
      </c>
      <c r="R12" s="60">
        <v>3.6</v>
      </c>
      <c r="S12" s="60">
        <f t="shared" si="3"/>
        <v>0</v>
      </c>
      <c r="T12" s="60">
        <f t="shared" si="4"/>
        <v>81662.42</v>
      </c>
      <c r="U12" s="60">
        <f>(P12*VLOOKUP(E12,$V$2:$X$6,3,FALSE))+(K12*Q12*VLOOKUP(E12,$V$2:$X$6,2,FALSE))+(R12*L12*VLOOKUP(E12,$V$2:$X$6,2,FALSE))</f>
        <v>81662.415</v>
      </c>
    </row>
    <row r="13" ht="30" spans="1:21">
      <c r="A13" s="41">
        <v>4</v>
      </c>
      <c r="B13" s="42" t="s">
        <v>39</v>
      </c>
      <c r="C13" s="41" t="s">
        <v>34</v>
      </c>
      <c r="D13" s="43" t="s">
        <v>35</v>
      </c>
      <c r="E13" s="41">
        <v>5</v>
      </c>
      <c r="F13" s="41" t="s">
        <v>36</v>
      </c>
      <c r="G13" s="44">
        <v>0.3</v>
      </c>
      <c r="H13" s="44">
        <v>0</v>
      </c>
      <c r="I13" s="44">
        <v>0.7</v>
      </c>
      <c r="J13" s="59">
        <v>84.6</v>
      </c>
      <c r="K13" s="59">
        <f t="shared" si="0"/>
        <v>25.4</v>
      </c>
      <c r="L13" s="59">
        <f t="shared" si="1"/>
        <v>59.2</v>
      </c>
      <c r="M13" s="41">
        <v>0</v>
      </c>
      <c r="N13" s="41">
        <v>24</v>
      </c>
      <c r="O13" s="41">
        <f t="shared" si="2"/>
        <v>24</v>
      </c>
      <c r="P13" s="60">
        <v>8762.2625</v>
      </c>
      <c r="Q13" s="60">
        <v>2.67</v>
      </c>
      <c r="R13" s="60">
        <v>3.6</v>
      </c>
      <c r="S13" s="60">
        <f t="shared" si="3"/>
        <v>0</v>
      </c>
      <c r="T13" s="60">
        <f t="shared" si="4"/>
        <v>83476.76</v>
      </c>
      <c r="U13" s="60">
        <f>(P13*VLOOKUP(E13,$V$2:$X$6,3,FALSE))+(K13*Q13*VLOOKUP(E13,$V$2:$X$6,2,FALSE))+(R13*L13*VLOOKUP(E13,$V$2:$X$6,2,FALSE))</f>
        <v>83476.755</v>
      </c>
    </row>
    <row r="14" ht="30" spans="1:21">
      <c r="A14" s="41">
        <v>5</v>
      </c>
      <c r="B14" s="42" t="s">
        <v>40</v>
      </c>
      <c r="C14" s="41" t="s">
        <v>34</v>
      </c>
      <c r="D14" s="43" t="s">
        <v>35</v>
      </c>
      <c r="E14" s="41">
        <v>5</v>
      </c>
      <c r="F14" s="41" t="s">
        <v>36</v>
      </c>
      <c r="G14" s="45">
        <v>0.06</v>
      </c>
      <c r="H14" s="44">
        <v>0</v>
      </c>
      <c r="I14" s="45">
        <v>0.94</v>
      </c>
      <c r="J14" s="59">
        <v>90.8</v>
      </c>
      <c r="K14" s="59">
        <f t="shared" si="0"/>
        <v>5.4</v>
      </c>
      <c r="L14" s="59">
        <f t="shared" si="1"/>
        <v>85.4</v>
      </c>
      <c r="M14" s="41">
        <v>0</v>
      </c>
      <c r="N14" s="41">
        <v>27</v>
      </c>
      <c r="O14" s="41">
        <f t="shared" si="2"/>
        <v>27</v>
      </c>
      <c r="P14" s="60">
        <v>8762.2625</v>
      </c>
      <c r="Q14" s="60">
        <v>2.67</v>
      </c>
      <c r="R14" s="60">
        <v>3.6</v>
      </c>
      <c r="S14" s="60">
        <f t="shared" si="3"/>
        <v>0</v>
      </c>
      <c r="T14" s="60">
        <f t="shared" si="4"/>
        <v>87977.96</v>
      </c>
      <c r="U14" s="60">
        <f>(P14*VLOOKUP(E14,$V$2:$X$6,3,FALSE))+(K14*Q14*VLOOKUP(E14,$V$2:$X$6,2,FALSE))+(R14*L14*VLOOKUP(E14,$V$2:$X$6,2,FALSE))</f>
        <v>87977.955</v>
      </c>
    </row>
    <row r="15" ht="30" spans="1:21">
      <c r="A15" s="41">
        <v>6</v>
      </c>
      <c r="B15" s="42" t="s">
        <v>41</v>
      </c>
      <c r="C15" s="41" t="s">
        <v>34</v>
      </c>
      <c r="D15" s="43" t="s">
        <v>35</v>
      </c>
      <c r="E15" s="41">
        <v>5</v>
      </c>
      <c r="F15" s="41" t="s">
        <v>36</v>
      </c>
      <c r="G15" s="45">
        <v>0.25</v>
      </c>
      <c r="H15" s="44">
        <v>0</v>
      </c>
      <c r="I15" s="45">
        <v>0.75</v>
      </c>
      <c r="J15" s="59">
        <v>131.6</v>
      </c>
      <c r="K15" s="59">
        <f t="shared" si="0"/>
        <v>32.9</v>
      </c>
      <c r="L15" s="59">
        <f t="shared" si="1"/>
        <v>98.7</v>
      </c>
      <c r="M15" s="41">
        <v>0</v>
      </c>
      <c r="N15" s="41">
        <v>23</v>
      </c>
      <c r="O15" s="41">
        <f t="shared" si="2"/>
        <v>23</v>
      </c>
      <c r="P15" s="60">
        <v>8762.2625</v>
      </c>
      <c r="Q15" s="60">
        <v>2.67</v>
      </c>
      <c r="R15" s="60">
        <v>3.6</v>
      </c>
      <c r="S15" s="60">
        <f t="shared" si="3"/>
        <v>0</v>
      </c>
      <c r="T15" s="60">
        <f t="shared" si="4"/>
        <v>101321.51</v>
      </c>
      <c r="U15" s="60">
        <f>(P15*VLOOKUP(E15,$V$2:$X$6,3,FALSE))+(K15*Q15*VLOOKUP(E15,$V$2:$X$6,2,FALSE))+(R15*L15*VLOOKUP(E15,$V$2:$X$6,2,FALSE))</f>
        <v>101321.505</v>
      </c>
    </row>
    <row r="16" ht="30" spans="1:21">
      <c r="A16" s="41">
        <v>7</v>
      </c>
      <c r="B16" s="42" t="s">
        <v>42</v>
      </c>
      <c r="C16" s="41" t="s">
        <v>34</v>
      </c>
      <c r="D16" s="43" t="s">
        <v>35</v>
      </c>
      <c r="E16" s="41">
        <v>5</v>
      </c>
      <c r="F16" s="41" t="s">
        <v>36</v>
      </c>
      <c r="G16" s="44">
        <v>0.07</v>
      </c>
      <c r="H16" s="44">
        <v>0</v>
      </c>
      <c r="I16" s="44">
        <v>0.93</v>
      </c>
      <c r="J16" s="59">
        <v>90.2</v>
      </c>
      <c r="K16" s="59">
        <f t="shared" si="0"/>
        <v>6.3</v>
      </c>
      <c r="L16" s="59">
        <f t="shared" si="1"/>
        <v>83.9</v>
      </c>
      <c r="M16" s="41">
        <v>0</v>
      </c>
      <c r="N16" s="41">
        <v>20</v>
      </c>
      <c r="O16" s="41">
        <f t="shared" si="2"/>
        <v>20</v>
      </c>
      <c r="P16" s="60">
        <v>8762.2625</v>
      </c>
      <c r="Q16" s="60">
        <v>2.67</v>
      </c>
      <c r="R16" s="60">
        <v>3.6</v>
      </c>
      <c r="S16" s="60">
        <f t="shared" si="3"/>
        <v>0</v>
      </c>
      <c r="T16" s="60">
        <f t="shared" si="4"/>
        <v>87648.29</v>
      </c>
      <c r="U16" s="60">
        <f>(P16*VLOOKUP(E16,$V$2:$X$6,3,FALSE))+(K16*Q16*VLOOKUP(E16,$V$2:$X$6,2,FALSE))+(R16*L16*VLOOKUP(E16,$V$2:$X$6,2,FALSE))</f>
        <v>87648.285</v>
      </c>
    </row>
    <row r="17" ht="36" customHeight="1" spans="1:21">
      <c r="A17" s="46">
        <v>8</v>
      </c>
      <c r="B17" s="47" t="s">
        <v>43</v>
      </c>
      <c r="C17" s="47" t="s">
        <v>44</v>
      </c>
      <c r="D17" s="48" t="s">
        <v>35</v>
      </c>
      <c r="E17" s="46">
        <v>5</v>
      </c>
      <c r="F17" s="46" t="s">
        <v>36</v>
      </c>
      <c r="G17" s="45">
        <v>0.1</v>
      </c>
      <c r="H17" s="44">
        <v>0</v>
      </c>
      <c r="I17" s="45">
        <v>0.9</v>
      </c>
      <c r="J17" s="59">
        <v>134.8</v>
      </c>
      <c r="K17" s="59">
        <f t="shared" si="0"/>
        <v>13.5</v>
      </c>
      <c r="L17" s="59">
        <f t="shared" si="1"/>
        <v>121.3</v>
      </c>
      <c r="M17" s="46">
        <v>0</v>
      </c>
      <c r="N17" s="46">
        <v>19</v>
      </c>
      <c r="O17" s="46">
        <f t="shared" si="2"/>
        <v>19</v>
      </c>
      <c r="P17" s="61">
        <v>8904.51</v>
      </c>
      <c r="Q17" s="61">
        <v>2.74</v>
      </c>
      <c r="R17" s="61">
        <v>3.7</v>
      </c>
      <c r="S17" s="61">
        <f t="shared" si="3"/>
        <v>0</v>
      </c>
      <c r="T17" s="61">
        <f t="shared" si="4"/>
        <v>106865.06</v>
      </c>
      <c r="U17" s="61">
        <f>(P17*VLOOKUP(E17,$V$2:$X$6,3,FALSE))+(K17*Q17*VLOOKUP(E17,$V$2:$X$6,2,FALSE))+(R17*L17*VLOOKUP(E17,$V$2:$X$6,2,FALSE))</f>
        <v>106865.06</v>
      </c>
    </row>
    <row r="18" ht="30" spans="1:21">
      <c r="A18" s="41">
        <v>9</v>
      </c>
      <c r="B18" s="42" t="s">
        <v>45</v>
      </c>
      <c r="C18" s="41" t="s">
        <v>34</v>
      </c>
      <c r="D18" s="43" t="s">
        <v>35</v>
      </c>
      <c r="E18" s="41">
        <v>5</v>
      </c>
      <c r="F18" s="41" t="s">
        <v>36</v>
      </c>
      <c r="G18" s="45">
        <v>0.4</v>
      </c>
      <c r="H18" s="44">
        <v>0</v>
      </c>
      <c r="I18" s="45">
        <v>0.6</v>
      </c>
      <c r="J18" s="59">
        <v>60.8</v>
      </c>
      <c r="K18" s="59">
        <f t="shared" si="0"/>
        <v>24.3</v>
      </c>
      <c r="L18" s="59">
        <f t="shared" si="1"/>
        <v>36.5</v>
      </c>
      <c r="M18" s="41">
        <v>0</v>
      </c>
      <c r="N18" s="41">
        <v>22</v>
      </c>
      <c r="O18" s="41">
        <f t="shared" si="2"/>
        <v>22</v>
      </c>
      <c r="P18" s="60">
        <v>8762.2625</v>
      </c>
      <c r="Q18" s="60">
        <v>2.67</v>
      </c>
      <c r="R18" s="60">
        <v>3.6</v>
      </c>
      <c r="S18" s="60">
        <f t="shared" si="3"/>
        <v>0</v>
      </c>
      <c r="T18" s="60">
        <f t="shared" si="4"/>
        <v>74164.49</v>
      </c>
      <c r="U18" s="60">
        <f>(P18*VLOOKUP(E18,$V$2:$X$6,3,FALSE))+(K18*Q18*VLOOKUP(E18,$V$2:$X$6,2,FALSE))+(R18*L18*VLOOKUP(E18,$V$2:$X$6,2,FALSE))</f>
        <v>74164.485</v>
      </c>
    </row>
    <row r="19" ht="30" spans="1:21">
      <c r="A19" s="41">
        <v>10</v>
      </c>
      <c r="B19" s="42" t="s">
        <v>46</v>
      </c>
      <c r="C19" s="41" t="s">
        <v>34</v>
      </c>
      <c r="D19" s="43" t="s">
        <v>35</v>
      </c>
      <c r="E19" s="41">
        <v>5</v>
      </c>
      <c r="F19" s="41" t="s">
        <v>36</v>
      </c>
      <c r="G19" s="45">
        <v>0.3</v>
      </c>
      <c r="H19" s="44">
        <v>0</v>
      </c>
      <c r="I19" s="45">
        <v>0.7</v>
      </c>
      <c r="J19" s="59">
        <v>58</v>
      </c>
      <c r="K19" s="59">
        <f t="shared" si="0"/>
        <v>17.4</v>
      </c>
      <c r="L19" s="59">
        <f t="shared" si="1"/>
        <v>40.6</v>
      </c>
      <c r="M19" s="41">
        <v>0</v>
      </c>
      <c r="N19" s="41">
        <v>20</v>
      </c>
      <c r="O19" s="41">
        <f t="shared" si="2"/>
        <v>20</v>
      </c>
      <c r="P19" s="60">
        <v>8762.2625</v>
      </c>
      <c r="Q19" s="60">
        <v>2.67</v>
      </c>
      <c r="R19" s="60">
        <v>3.6</v>
      </c>
      <c r="S19" s="60">
        <f t="shared" si="3"/>
        <v>0</v>
      </c>
      <c r="T19" s="60">
        <f t="shared" si="4"/>
        <v>73761.56</v>
      </c>
      <c r="U19" s="60">
        <f>(P19*VLOOKUP(E19,$V$2:$X$6,3,FALSE))+(K19*Q19*VLOOKUP(E19,$V$2:$X$6,2,FALSE))+(R19*L19*VLOOKUP(E19,$V$2:$X$6,2,FALSE))</f>
        <v>73761.555</v>
      </c>
    </row>
    <row r="20" ht="30" spans="1:21">
      <c r="A20" s="41">
        <v>11</v>
      </c>
      <c r="B20" s="42" t="s">
        <v>47</v>
      </c>
      <c r="C20" s="41" t="s">
        <v>48</v>
      </c>
      <c r="D20" s="43" t="s">
        <v>35</v>
      </c>
      <c r="E20" s="41">
        <v>5</v>
      </c>
      <c r="F20" s="41" t="s">
        <v>36</v>
      </c>
      <c r="G20" s="44">
        <v>1</v>
      </c>
      <c r="H20" s="44">
        <v>0</v>
      </c>
      <c r="I20" s="44">
        <v>0</v>
      </c>
      <c r="J20" s="59">
        <v>6</v>
      </c>
      <c r="K20" s="59">
        <f t="shared" si="0"/>
        <v>6</v>
      </c>
      <c r="L20" s="59">
        <f t="shared" si="1"/>
        <v>0</v>
      </c>
      <c r="M20" s="41">
        <v>0</v>
      </c>
      <c r="N20" s="41">
        <v>43</v>
      </c>
      <c r="O20" s="41">
        <f t="shared" si="2"/>
        <v>43</v>
      </c>
      <c r="P20" s="60">
        <v>8668.32</v>
      </c>
      <c r="Q20" s="60">
        <v>3.37</v>
      </c>
      <c r="R20" s="60">
        <v>4.54</v>
      </c>
      <c r="S20" s="60">
        <f t="shared" si="3"/>
        <v>0</v>
      </c>
      <c r="T20" s="60">
        <f t="shared" si="4"/>
        <v>54234.12</v>
      </c>
      <c r="U20" s="60">
        <f>(P20*VLOOKUP(E20,$V$2:$X$6,3,FALSE))+(K20*Q20*VLOOKUP(E20,$V$2:$X$6,2,FALSE))+(R20*L20*VLOOKUP(E20,$V$2:$X$6,2,FALSE))</f>
        <v>54234.12</v>
      </c>
    </row>
    <row r="21" ht="30" spans="1:21">
      <c r="A21" s="41">
        <v>12</v>
      </c>
      <c r="B21" s="42" t="s">
        <v>49</v>
      </c>
      <c r="C21" s="41" t="s">
        <v>50</v>
      </c>
      <c r="D21" s="43" t="s">
        <v>35</v>
      </c>
      <c r="E21" s="41">
        <v>5</v>
      </c>
      <c r="F21" s="41" t="s">
        <v>36</v>
      </c>
      <c r="G21" s="44">
        <v>1</v>
      </c>
      <c r="H21" s="44">
        <v>0</v>
      </c>
      <c r="I21" s="44">
        <v>0</v>
      </c>
      <c r="J21" s="59">
        <v>6.8</v>
      </c>
      <c r="K21" s="59">
        <f t="shared" si="0"/>
        <v>6.8</v>
      </c>
      <c r="L21" s="59">
        <f t="shared" si="1"/>
        <v>0</v>
      </c>
      <c r="M21" s="41">
        <v>0</v>
      </c>
      <c r="N21" s="41">
        <v>79</v>
      </c>
      <c r="O21" s="41">
        <f t="shared" si="2"/>
        <v>79</v>
      </c>
      <c r="P21" s="60">
        <v>8868.1258</v>
      </c>
      <c r="Q21" s="60">
        <v>3.88</v>
      </c>
      <c r="R21" s="60">
        <v>5.24</v>
      </c>
      <c r="S21" s="60">
        <f t="shared" si="3"/>
        <v>0</v>
      </c>
      <c r="T21" s="60">
        <f t="shared" si="4"/>
        <v>56110.99</v>
      </c>
      <c r="U21" s="60">
        <f>(P21*VLOOKUP(E21,$V$2:$X$6,3,FALSE))+(K21*Q21*VLOOKUP(E21,$V$2:$X$6,2,FALSE))+(R21*L21*VLOOKUP(E21,$V$2:$X$6,2,FALSE))</f>
        <v>56110.9948</v>
      </c>
    </row>
    <row r="22" ht="30" spans="1:21">
      <c r="A22" s="41">
        <v>13</v>
      </c>
      <c r="B22" s="42" t="s">
        <v>51</v>
      </c>
      <c r="C22" s="41" t="s">
        <v>34</v>
      </c>
      <c r="D22" s="43" t="s">
        <v>35</v>
      </c>
      <c r="E22" s="41">
        <v>5</v>
      </c>
      <c r="F22" s="41" t="s">
        <v>36</v>
      </c>
      <c r="G22" s="45">
        <v>0.59</v>
      </c>
      <c r="H22" s="44">
        <v>0</v>
      </c>
      <c r="I22" s="45">
        <v>0.41</v>
      </c>
      <c r="J22" s="59">
        <v>87.3</v>
      </c>
      <c r="K22" s="59">
        <f t="shared" si="0"/>
        <v>51.5</v>
      </c>
      <c r="L22" s="59">
        <f t="shared" si="1"/>
        <v>35.8</v>
      </c>
      <c r="M22" s="41">
        <v>0</v>
      </c>
      <c r="N22" s="41">
        <v>28</v>
      </c>
      <c r="O22" s="41">
        <f t="shared" si="2"/>
        <v>28</v>
      </c>
      <c r="P22" s="60">
        <v>8762.2625</v>
      </c>
      <c r="Q22" s="60">
        <v>2.67</v>
      </c>
      <c r="R22" s="60">
        <v>3.6</v>
      </c>
      <c r="S22" s="60">
        <f t="shared" si="3"/>
        <v>0</v>
      </c>
      <c r="T22" s="60">
        <f t="shared" si="4"/>
        <v>81875.93</v>
      </c>
      <c r="U22" s="60">
        <f>(P22*VLOOKUP(E22,$V$2:$X$6,3,FALSE))+(K22*Q22*VLOOKUP(E22,$V$2:$X$6,2,FALSE))+(R22*L22*VLOOKUP(E22,$V$2:$X$6,2,FALSE))</f>
        <v>81875.925</v>
      </c>
    </row>
    <row r="23" ht="30" spans="1:21">
      <c r="A23" s="41">
        <v>14</v>
      </c>
      <c r="B23" s="42" t="s">
        <v>52</v>
      </c>
      <c r="C23" s="41" t="s">
        <v>50</v>
      </c>
      <c r="D23" s="43" t="s">
        <v>35</v>
      </c>
      <c r="E23" s="41">
        <v>5</v>
      </c>
      <c r="F23" s="41" t="s">
        <v>36</v>
      </c>
      <c r="G23" s="44">
        <v>1</v>
      </c>
      <c r="H23" s="44">
        <v>0</v>
      </c>
      <c r="I23" s="44">
        <v>0</v>
      </c>
      <c r="J23" s="59">
        <v>34</v>
      </c>
      <c r="K23" s="59">
        <f t="shared" si="0"/>
        <v>34</v>
      </c>
      <c r="L23" s="59">
        <f t="shared" si="1"/>
        <v>0</v>
      </c>
      <c r="M23" s="41">
        <v>0</v>
      </c>
      <c r="N23" s="41">
        <v>80</v>
      </c>
      <c r="O23" s="41">
        <f t="shared" si="2"/>
        <v>80</v>
      </c>
      <c r="P23" s="60">
        <v>8868.1258</v>
      </c>
      <c r="Q23" s="60">
        <v>3.88</v>
      </c>
      <c r="R23" s="60">
        <v>5.24</v>
      </c>
      <c r="S23" s="60">
        <f t="shared" si="3"/>
        <v>0</v>
      </c>
      <c r="T23" s="60">
        <f t="shared" si="4"/>
        <v>67719.95</v>
      </c>
      <c r="U23" s="60">
        <f>(P23*VLOOKUP(E23,$V$2:$X$6,3,FALSE))+(K23*Q23*VLOOKUP(E23,$V$2:$X$6,2,FALSE))+(R23*L23*VLOOKUP(E23,$V$2:$X$6,2,FALSE))</f>
        <v>67719.9548</v>
      </c>
    </row>
    <row r="24" ht="30" spans="1:21">
      <c r="A24" s="41">
        <v>15</v>
      </c>
      <c r="B24" s="42" t="s">
        <v>53</v>
      </c>
      <c r="C24" s="41" t="s">
        <v>50</v>
      </c>
      <c r="D24" s="43" t="s">
        <v>35</v>
      </c>
      <c r="E24" s="41">
        <v>5</v>
      </c>
      <c r="F24" s="41" t="s">
        <v>36</v>
      </c>
      <c r="G24" s="44">
        <v>1</v>
      </c>
      <c r="H24" s="44">
        <v>0</v>
      </c>
      <c r="I24" s="44">
        <v>0</v>
      </c>
      <c r="J24" s="59">
        <v>18.4</v>
      </c>
      <c r="K24" s="59">
        <f t="shared" si="0"/>
        <v>18.4</v>
      </c>
      <c r="L24" s="59">
        <f t="shared" si="1"/>
        <v>0</v>
      </c>
      <c r="M24" s="41">
        <v>0</v>
      </c>
      <c r="N24" s="41">
        <v>79</v>
      </c>
      <c r="O24" s="41">
        <f t="shared" si="2"/>
        <v>79</v>
      </c>
      <c r="P24" s="60">
        <v>8868.1258</v>
      </c>
      <c r="Q24" s="60">
        <v>3.88</v>
      </c>
      <c r="R24" s="60">
        <v>5.24</v>
      </c>
      <c r="S24" s="60">
        <f t="shared" si="3"/>
        <v>0</v>
      </c>
      <c r="T24" s="60">
        <f t="shared" si="4"/>
        <v>61061.87</v>
      </c>
      <c r="U24" s="60">
        <f>(P24*VLOOKUP(E24,$V$2:$X$6,3,FALSE))+(K24*Q24*VLOOKUP(E24,$V$2:$X$6,2,FALSE))+(R24*L24*VLOOKUP(E24,$V$2:$X$6,2,FALSE))</f>
        <v>61061.8748</v>
      </c>
    </row>
    <row r="25" ht="30" spans="1:21">
      <c r="A25" s="41">
        <v>16</v>
      </c>
      <c r="B25" s="42" t="s">
        <v>54</v>
      </c>
      <c r="C25" s="41" t="s">
        <v>48</v>
      </c>
      <c r="D25" s="43" t="s">
        <v>35</v>
      </c>
      <c r="E25" s="41">
        <v>5</v>
      </c>
      <c r="F25" s="41" t="s">
        <v>36</v>
      </c>
      <c r="G25" s="45">
        <v>0.3</v>
      </c>
      <c r="H25" s="44">
        <v>0</v>
      </c>
      <c r="I25" s="45">
        <v>0.7</v>
      </c>
      <c r="J25" s="59">
        <v>52.8</v>
      </c>
      <c r="K25" s="59">
        <f t="shared" si="0"/>
        <v>15.8</v>
      </c>
      <c r="L25" s="59">
        <f t="shared" si="1"/>
        <v>37</v>
      </c>
      <c r="M25" s="41">
        <v>0</v>
      </c>
      <c r="N25" s="41">
        <v>43</v>
      </c>
      <c r="O25" s="41">
        <f t="shared" si="2"/>
        <v>43</v>
      </c>
      <c r="P25" s="60">
        <v>8668.32</v>
      </c>
      <c r="Q25" s="60">
        <v>3.37</v>
      </c>
      <c r="R25" s="60">
        <v>4.54</v>
      </c>
      <c r="S25" s="60">
        <f t="shared" si="3"/>
        <v>0</v>
      </c>
      <c r="T25" s="60">
        <f t="shared" si="4"/>
        <v>76344.78</v>
      </c>
      <c r="U25" s="60">
        <f>(P25*VLOOKUP(E25,$V$2:$X$6,3,FALSE))+(K25*Q25*VLOOKUP(E25,$V$2:$X$6,2,FALSE))+(R25*L25*VLOOKUP(E25,$V$2:$X$6,2,FALSE))</f>
        <v>76344.78</v>
      </c>
    </row>
    <row r="26" ht="30" spans="1:21">
      <c r="A26" s="41">
        <v>17</v>
      </c>
      <c r="B26" s="42" t="s">
        <v>55</v>
      </c>
      <c r="C26" s="41" t="s">
        <v>48</v>
      </c>
      <c r="D26" s="43" t="s">
        <v>35</v>
      </c>
      <c r="E26" s="41">
        <v>5</v>
      </c>
      <c r="F26" s="41" t="s">
        <v>36</v>
      </c>
      <c r="G26" s="45">
        <v>0.25</v>
      </c>
      <c r="H26" s="44">
        <v>0</v>
      </c>
      <c r="I26" s="45">
        <v>0.75</v>
      </c>
      <c r="J26" s="59">
        <v>87.6</v>
      </c>
      <c r="K26" s="59">
        <f t="shared" si="0"/>
        <v>21.9</v>
      </c>
      <c r="L26" s="59">
        <f t="shared" si="1"/>
        <v>65.7</v>
      </c>
      <c r="M26" s="41">
        <v>0</v>
      </c>
      <c r="N26" s="41">
        <v>41</v>
      </c>
      <c r="O26" s="41">
        <f t="shared" si="2"/>
        <v>41</v>
      </c>
      <c r="P26" s="60">
        <v>8668.32</v>
      </c>
      <c r="Q26" s="60">
        <v>3.37</v>
      </c>
      <c r="R26" s="60">
        <v>4.54</v>
      </c>
      <c r="S26" s="60">
        <f t="shared" si="3"/>
        <v>0</v>
      </c>
      <c r="T26" s="60">
        <f t="shared" si="4"/>
        <v>92938.83</v>
      </c>
      <c r="U26" s="60">
        <f>(P26*VLOOKUP(E26,$V$2:$X$6,3,FALSE))+(K26*Q26*VLOOKUP(E26,$V$2:$X$6,2,FALSE))+(R26*L26*VLOOKUP(E26,$V$2:$X$6,2,FALSE))</f>
        <v>92938.83</v>
      </c>
    </row>
    <row r="27" ht="30" spans="1:21">
      <c r="A27" s="41">
        <v>18</v>
      </c>
      <c r="B27" s="42" t="s">
        <v>56</v>
      </c>
      <c r="C27" s="41" t="s">
        <v>50</v>
      </c>
      <c r="D27" s="43" t="s">
        <v>35</v>
      </c>
      <c r="E27" s="41">
        <v>5</v>
      </c>
      <c r="F27" s="41" t="s">
        <v>36</v>
      </c>
      <c r="G27" s="45">
        <v>0.3</v>
      </c>
      <c r="H27" s="44">
        <v>0</v>
      </c>
      <c r="I27" s="45">
        <v>0.7</v>
      </c>
      <c r="J27" s="59">
        <v>45.9</v>
      </c>
      <c r="K27" s="59">
        <f t="shared" si="0"/>
        <v>13.8</v>
      </c>
      <c r="L27" s="59">
        <f t="shared" si="1"/>
        <v>32.1</v>
      </c>
      <c r="M27" s="41">
        <v>0</v>
      </c>
      <c r="N27" s="41">
        <v>78</v>
      </c>
      <c r="O27" s="41">
        <f t="shared" si="2"/>
        <v>78</v>
      </c>
      <c r="P27" s="60">
        <v>8868.1258</v>
      </c>
      <c r="Q27" s="60">
        <v>3.88</v>
      </c>
      <c r="R27" s="60">
        <v>5.24</v>
      </c>
      <c r="S27" s="60">
        <f t="shared" si="3"/>
        <v>0</v>
      </c>
      <c r="T27" s="60">
        <f t="shared" si="4"/>
        <v>77601.03</v>
      </c>
      <c r="U27" s="60">
        <f>(P27*VLOOKUP(E27,$V$2:$X$6,3,FALSE))+(K27*Q27*VLOOKUP(E27,$V$2:$X$6,2,FALSE))+(R27*L27*VLOOKUP(E27,$V$2:$X$6,2,FALSE))</f>
        <v>77601.0348</v>
      </c>
    </row>
    <row r="28" ht="30" spans="1:21">
      <c r="A28" s="41">
        <v>19</v>
      </c>
      <c r="B28" s="42" t="s">
        <v>57</v>
      </c>
      <c r="C28" s="41" t="s">
        <v>48</v>
      </c>
      <c r="D28" s="43" t="s">
        <v>35</v>
      </c>
      <c r="E28" s="41">
        <v>5</v>
      </c>
      <c r="F28" s="41" t="s">
        <v>36</v>
      </c>
      <c r="G28" s="44">
        <v>0</v>
      </c>
      <c r="H28" s="44">
        <v>0</v>
      </c>
      <c r="I28" s="44">
        <v>1</v>
      </c>
      <c r="J28" s="59">
        <v>56.7</v>
      </c>
      <c r="K28" s="59">
        <f t="shared" si="0"/>
        <v>0</v>
      </c>
      <c r="L28" s="59">
        <f t="shared" si="1"/>
        <v>56.7</v>
      </c>
      <c r="M28" s="41">
        <v>0</v>
      </c>
      <c r="N28" s="41">
        <v>39</v>
      </c>
      <c r="O28" s="41">
        <f t="shared" si="2"/>
        <v>39</v>
      </c>
      <c r="P28" s="60">
        <v>8668.32</v>
      </c>
      <c r="Q28" s="60">
        <v>3.37</v>
      </c>
      <c r="R28" s="60">
        <v>4.54</v>
      </c>
      <c r="S28" s="60">
        <f t="shared" si="3"/>
        <v>0</v>
      </c>
      <c r="T28" s="60">
        <f t="shared" si="4"/>
        <v>80325.9</v>
      </c>
      <c r="U28" s="60">
        <f>(P28*VLOOKUP(E28,$V$2:$X$6,3,FALSE))+(K28*Q28*VLOOKUP(E28,$V$2:$X$6,2,FALSE))+(R28*L28*VLOOKUP(E28,$V$2:$X$6,2,FALSE))</f>
        <v>80325.9</v>
      </c>
    </row>
    <row r="29" ht="30" spans="1:21">
      <c r="A29" s="41">
        <v>20</v>
      </c>
      <c r="B29" s="42" t="s">
        <v>58</v>
      </c>
      <c r="C29" s="41" t="s">
        <v>48</v>
      </c>
      <c r="D29" s="43" t="s">
        <v>35</v>
      </c>
      <c r="E29" s="41">
        <v>5</v>
      </c>
      <c r="F29" s="41" t="s">
        <v>36</v>
      </c>
      <c r="G29" s="44">
        <v>0</v>
      </c>
      <c r="H29" s="44">
        <v>0</v>
      </c>
      <c r="I29" s="44">
        <v>1</v>
      </c>
      <c r="J29" s="59">
        <v>67.5</v>
      </c>
      <c r="K29" s="59">
        <f t="shared" si="0"/>
        <v>0</v>
      </c>
      <c r="L29" s="59">
        <f t="shared" si="1"/>
        <v>67.5</v>
      </c>
      <c r="M29" s="41">
        <v>0</v>
      </c>
      <c r="N29" s="41">
        <v>43</v>
      </c>
      <c r="O29" s="41">
        <f t="shared" si="2"/>
        <v>43</v>
      </c>
      <c r="P29" s="60">
        <v>8668.32</v>
      </c>
      <c r="Q29" s="60">
        <v>3.37</v>
      </c>
      <c r="R29" s="60">
        <v>4.54</v>
      </c>
      <c r="S29" s="60">
        <f t="shared" si="3"/>
        <v>0</v>
      </c>
      <c r="T29" s="60">
        <f t="shared" si="4"/>
        <v>85719.42</v>
      </c>
      <c r="U29" s="60">
        <f>(P29*VLOOKUP(E29,$V$2:$X$6,3,FALSE))+(K29*Q29*VLOOKUP(E29,$V$2:$X$6,2,FALSE))+(R29*L29*VLOOKUP(E29,$V$2:$X$6,2,FALSE))</f>
        <v>85719.42</v>
      </c>
    </row>
    <row r="30" ht="30" spans="1:21">
      <c r="A30" s="41">
        <v>21</v>
      </c>
      <c r="B30" s="42" t="s">
        <v>59</v>
      </c>
      <c r="C30" s="41" t="s">
        <v>48</v>
      </c>
      <c r="D30" s="43" t="s">
        <v>35</v>
      </c>
      <c r="E30" s="41">
        <v>5</v>
      </c>
      <c r="F30" s="41" t="s">
        <v>36</v>
      </c>
      <c r="G30" s="44">
        <v>0</v>
      </c>
      <c r="H30" s="44">
        <v>0</v>
      </c>
      <c r="I30" s="44">
        <v>1</v>
      </c>
      <c r="J30" s="41">
        <v>62.4</v>
      </c>
      <c r="K30" s="59">
        <f t="shared" si="0"/>
        <v>0</v>
      </c>
      <c r="L30" s="59">
        <f t="shared" si="1"/>
        <v>62.4</v>
      </c>
      <c r="M30" s="41">
        <v>0</v>
      </c>
      <c r="N30" s="41">
        <v>41</v>
      </c>
      <c r="O30" s="41">
        <f t="shared" si="2"/>
        <v>41</v>
      </c>
      <c r="P30" s="60">
        <v>8668.32</v>
      </c>
      <c r="Q30" s="60">
        <v>3.37</v>
      </c>
      <c r="R30" s="60">
        <v>4.54</v>
      </c>
      <c r="S30" s="60">
        <f t="shared" si="3"/>
        <v>0</v>
      </c>
      <c r="T30" s="60">
        <f t="shared" si="4"/>
        <v>83172.48</v>
      </c>
      <c r="U30" s="60">
        <f>(P30*VLOOKUP(E30,$V$2:$X$6,3,FALSE))+(K30*Q30*VLOOKUP(E30,$V$2:$X$6,2,FALSE))+(R30*L30*VLOOKUP(E30,$V$2:$X$6,2,FALSE))</f>
        <v>83172.48</v>
      </c>
    </row>
    <row r="31" ht="30" spans="1:21">
      <c r="A31" s="41">
        <v>22</v>
      </c>
      <c r="B31" s="42" t="s">
        <v>60</v>
      </c>
      <c r="C31" s="41" t="s">
        <v>48</v>
      </c>
      <c r="D31" s="43" t="s">
        <v>35</v>
      </c>
      <c r="E31" s="41">
        <v>5</v>
      </c>
      <c r="F31" s="41" t="s">
        <v>36</v>
      </c>
      <c r="G31" s="45">
        <v>0.5</v>
      </c>
      <c r="H31" s="44">
        <v>0</v>
      </c>
      <c r="I31" s="45">
        <v>0.5</v>
      </c>
      <c r="J31" s="59">
        <v>71.2</v>
      </c>
      <c r="K31" s="59">
        <f t="shared" si="0"/>
        <v>35.6</v>
      </c>
      <c r="L31" s="59">
        <f t="shared" si="1"/>
        <v>35.6</v>
      </c>
      <c r="M31" s="41">
        <v>0</v>
      </c>
      <c r="N31" s="41">
        <v>39</v>
      </c>
      <c r="O31" s="41">
        <f t="shared" si="2"/>
        <v>39</v>
      </c>
      <c r="P31" s="60">
        <v>8668.32</v>
      </c>
      <c r="Q31" s="60">
        <v>3.37</v>
      </c>
      <c r="R31" s="60">
        <v>4.54</v>
      </c>
      <c r="S31" s="60">
        <f t="shared" si="3"/>
        <v>0</v>
      </c>
      <c r="T31" s="60">
        <f t="shared" si="4"/>
        <v>82985.48</v>
      </c>
      <c r="U31" s="60">
        <f>(P31*VLOOKUP(E31,$V$2:$X$6,3,FALSE))+(K31*Q31*VLOOKUP(E31,$V$2:$X$6,2,FALSE))+(R31*L31*VLOOKUP(E31,$V$2:$X$6,2,FALSE))</f>
        <v>82985.48</v>
      </c>
    </row>
    <row r="32" ht="25" customHeight="1" spans="1:21">
      <c r="A32" s="49" t="s">
        <v>61</v>
      </c>
      <c r="B32" s="50"/>
      <c r="C32" s="51"/>
      <c r="D32" s="52"/>
      <c r="E32" s="52"/>
      <c r="F32" s="53"/>
      <c r="G32" s="54"/>
      <c r="H32" s="54"/>
      <c r="I32" s="54"/>
      <c r="J32" s="53">
        <f t="shared" ref="J32:O32" si="5">SUM(J10:J31)</f>
        <v>1517</v>
      </c>
      <c r="K32" s="53">
        <f t="shared" si="5"/>
        <v>344.8</v>
      </c>
      <c r="L32" s="53">
        <f t="shared" si="5"/>
        <v>1172.2</v>
      </c>
      <c r="M32" s="53">
        <f t="shared" si="5"/>
        <v>0</v>
      </c>
      <c r="N32" s="53">
        <f t="shared" si="5"/>
        <v>862</v>
      </c>
      <c r="O32" s="53">
        <f t="shared" si="5"/>
        <v>862</v>
      </c>
      <c r="P32" s="62">
        <f t="shared" ref="P32:R32" si="6">AVERAGE(P10:P31)</f>
        <v>8758.08537272727</v>
      </c>
      <c r="Q32" s="62">
        <f t="shared" si="6"/>
        <v>3.11590909090909</v>
      </c>
      <c r="R32" s="62">
        <f t="shared" si="6"/>
        <v>4.20181818181818</v>
      </c>
      <c r="S32" s="62">
        <f t="shared" ref="S32:U32" si="7">SUM(S10:S31)</f>
        <v>0</v>
      </c>
      <c r="T32" s="62">
        <f t="shared" si="7"/>
        <v>1778172.41</v>
      </c>
      <c r="U32" s="62">
        <f t="shared" si="7"/>
        <v>1778172.3792</v>
      </c>
    </row>
    <row r="33" ht="25" customHeight="1" spans="1:21">
      <c r="A33" s="55"/>
      <c r="B33" s="55"/>
      <c r="C33" s="55"/>
      <c r="D33" s="56"/>
      <c r="E33" s="56"/>
      <c r="F33" s="55"/>
      <c r="G33" s="57"/>
      <c r="H33" s="57"/>
      <c r="I33" s="57"/>
      <c r="J33" s="55"/>
      <c r="K33" s="55"/>
      <c r="L33" s="55"/>
      <c r="M33" s="55"/>
      <c r="N33" s="55"/>
      <c r="O33" s="55"/>
      <c r="P33" s="63"/>
      <c r="Q33" s="63"/>
      <c r="R33" s="63"/>
      <c r="S33" s="63"/>
      <c r="T33" s="63"/>
      <c r="U33" s="63"/>
    </row>
    <row r="34" ht="104" customHeight="1" spans="1:21">
      <c r="A34" s="58" t="s">
        <v>66</v>
      </c>
      <c r="B34" s="58"/>
      <c r="C34" s="58"/>
      <c r="D34" s="58"/>
      <c r="E34" s="58"/>
      <c r="F34" s="58"/>
      <c r="G34" s="58"/>
      <c r="H34" s="58"/>
      <c r="I34" s="58"/>
      <c r="J34" s="58"/>
      <c r="K34" s="58"/>
      <c r="L34" s="58"/>
      <c r="M34" s="58"/>
      <c r="N34" s="58"/>
      <c r="O34" s="58"/>
      <c r="P34" s="58"/>
      <c r="Q34" s="58"/>
      <c r="R34" s="58"/>
      <c r="S34" s="58"/>
      <c r="T34" s="58"/>
      <c r="U34" s="58"/>
    </row>
  </sheetData>
  <mergeCells count="9">
    <mergeCell ref="A1:U1"/>
    <mergeCell ref="A2:U2"/>
    <mergeCell ref="A3:U3"/>
    <mergeCell ref="A4:U4"/>
    <mergeCell ref="A5:U5"/>
    <mergeCell ref="A7:U7"/>
    <mergeCell ref="A32:C32"/>
    <mergeCell ref="A33:U33"/>
    <mergeCell ref="A34:U34"/>
  </mergeCells>
  <pageMargins left="0.511811024" right="0.511811024" top="0.787401575" bottom="0.787401575" header="0.31496062" footer="0.31496062"/>
  <pageSetup paperSize="9" scale="46" fitToHeight="0" orientation="landscape"/>
  <headerFooter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Plan12">
    <tabColor rgb="FFFFC000"/>
    <pageSetUpPr fitToPage="1"/>
  </sheetPr>
  <dimension ref="B1:Q30"/>
  <sheetViews>
    <sheetView showGridLines="0" zoomScaleSheetLayoutView="70" topLeftCell="A7" workbookViewId="0">
      <selection activeCell="M22" sqref="M22"/>
    </sheetView>
  </sheetViews>
  <sheetFormatPr defaultColWidth="8.85714285714286" defaultRowHeight="15"/>
  <cols>
    <col min="1" max="1" width="3.42857142857143" style="2" customWidth="1"/>
    <col min="2" max="2" width="18.2857142857143" style="2" customWidth="1"/>
    <col min="3" max="3" width="50.4285714285714" style="2" customWidth="1"/>
    <col min="4" max="4" width="12.7142857142857" style="2" customWidth="1"/>
    <col min="5" max="5" width="3.28571428571429" style="2" customWidth="1"/>
    <col min="6" max="6" width="16.2857142857143" style="2" customWidth="1"/>
    <col min="7" max="7" width="20.7142857142857" style="1" customWidth="1"/>
    <col min="8" max="8" width="17.8571428571429" style="2" customWidth="1"/>
    <col min="9" max="9" width="13.1428571428571" style="2" customWidth="1"/>
    <col min="10" max="10" width="15" style="2" customWidth="1"/>
    <col min="11" max="11" width="15.1428571428571" style="2" customWidth="1"/>
    <col min="12" max="12" width="15" style="2" customWidth="1"/>
    <col min="13" max="13" width="14.2857142857143" style="2" customWidth="1"/>
    <col min="14" max="14" width="13.2857142857143" style="2" customWidth="1"/>
    <col min="15" max="15" width="12.7142857142857" style="2" customWidth="1"/>
    <col min="16" max="16" width="13.4285714285714" style="2" customWidth="1"/>
    <col min="17" max="17" width="13.1428571428571" style="2" customWidth="1"/>
    <col min="18" max="16384" width="8.85714285714286" style="2"/>
  </cols>
  <sheetData>
    <row r="1" ht="24.75" customHeight="1" spans="2:14">
      <c r="B1" s="3" t="s">
        <v>67</v>
      </c>
      <c r="C1" s="3"/>
      <c r="D1" s="3"/>
      <c r="F1" s="4" t="s">
        <v>68</v>
      </c>
      <c r="G1" s="4"/>
      <c r="H1" s="4"/>
      <c r="I1" s="4"/>
      <c r="J1" s="4"/>
      <c r="K1" s="4"/>
      <c r="L1" s="4"/>
      <c r="M1" s="4"/>
      <c r="N1"/>
    </row>
    <row r="2" s="1" customFormat="1" ht="30" spans="2:16">
      <c r="B2" s="3" t="s">
        <v>69</v>
      </c>
      <c r="C2" s="3" t="s">
        <v>70</v>
      </c>
      <c r="D2" s="3" t="s">
        <v>71</v>
      </c>
      <c r="F2" s="4" t="s">
        <v>72</v>
      </c>
      <c r="G2" s="4" t="s">
        <v>73</v>
      </c>
      <c r="H2" s="4" t="s">
        <v>74</v>
      </c>
      <c r="I2" s="4" t="s">
        <v>75</v>
      </c>
      <c r="J2" s="4" t="s">
        <v>76</v>
      </c>
      <c r="K2" s="4" t="s">
        <v>77</v>
      </c>
      <c r="L2" s="4" t="s">
        <v>78</v>
      </c>
      <c r="M2" s="4" t="s">
        <v>79</v>
      </c>
      <c r="O2" s="2"/>
      <c r="P2" s="2"/>
    </row>
    <row r="3" ht="45" spans="2:13">
      <c r="B3" s="5" t="s">
        <v>80</v>
      </c>
      <c r="C3" s="6" t="s">
        <v>81</v>
      </c>
      <c r="D3" s="7">
        <v>1863</v>
      </c>
      <c r="E3" s="8"/>
      <c r="F3" s="9" t="s">
        <v>82</v>
      </c>
      <c r="G3" s="10" t="s">
        <v>83</v>
      </c>
      <c r="H3" s="10">
        <v>37824</v>
      </c>
      <c r="I3" s="10" t="s">
        <v>84</v>
      </c>
      <c r="J3" s="10">
        <v>497.12</v>
      </c>
      <c r="K3" s="27">
        <v>4</v>
      </c>
      <c r="L3" s="27">
        <v>10</v>
      </c>
      <c r="M3" s="28">
        <v>0.2</v>
      </c>
    </row>
    <row r="4" ht="60" spans="2:13">
      <c r="B4" s="5"/>
      <c r="C4" s="6" t="s">
        <v>85</v>
      </c>
      <c r="D4" s="7">
        <v>1863</v>
      </c>
      <c r="E4" s="11"/>
      <c r="F4" s="9" t="s">
        <v>34</v>
      </c>
      <c r="G4" s="10" t="s">
        <v>86</v>
      </c>
      <c r="H4" s="10">
        <v>81775</v>
      </c>
      <c r="I4" s="10" t="s">
        <v>87</v>
      </c>
      <c r="J4" s="10">
        <v>746.31</v>
      </c>
      <c r="K4" s="27">
        <v>4</v>
      </c>
      <c r="L4" s="27">
        <v>10</v>
      </c>
      <c r="M4" s="28">
        <v>0.2</v>
      </c>
    </row>
    <row r="5" ht="60" spans="2:13">
      <c r="B5" s="5"/>
      <c r="C5" s="6" t="s">
        <v>88</v>
      </c>
      <c r="D5" s="7">
        <v>1518</v>
      </c>
      <c r="E5" s="11"/>
      <c r="F5" s="9" t="s">
        <v>48</v>
      </c>
      <c r="G5" s="10" t="s">
        <v>89</v>
      </c>
      <c r="H5" s="10">
        <v>87641</v>
      </c>
      <c r="I5" s="10" t="s">
        <v>90</v>
      </c>
      <c r="J5" s="10">
        <v>1340.32</v>
      </c>
      <c r="K5" s="27">
        <v>6</v>
      </c>
      <c r="L5" s="27">
        <v>12</v>
      </c>
      <c r="M5" s="28">
        <v>0.2</v>
      </c>
    </row>
    <row r="6" ht="60" spans="2:13">
      <c r="B6" s="5"/>
      <c r="C6" s="12" t="s">
        <v>91</v>
      </c>
      <c r="D6" s="7">
        <v>490.81</v>
      </c>
      <c r="F6" s="9" t="s">
        <v>50</v>
      </c>
      <c r="G6" s="10" t="s">
        <v>92</v>
      </c>
      <c r="H6" s="10">
        <v>117689</v>
      </c>
      <c r="I6" s="10" t="s">
        <v>93</v>
      </c>
      <c r="J6" s="10">
        <v>2112.39</v>
      </c>
      <c r="K6" s="27">
        <v>6</v>
      </c>
      <c r="L6" s="27">
        <v>12</v>
      </c>
      <c r="M6" s="28">
        <v>0.2</v>
      </c>
    </row>
    <row r="7" spans="2:4">
      <c r="B7" s="5"/>
      <c r="C7" s="6" t="s">
        <v>94</v>
      </c>
      <c r="D7" s="7">
        <v>53</v>
      </c>
    </row>
    <row r="8" customHeight="1" spans="2:15">
      <c r="B8" s="5"/>
      <c r="C8" s="6" t="s">
        <v>95</v>
      </c>
      <c r="D8" s="7">
        <v>13</v>
      </c>
      <c r="F8" s="4" t="s">
        <v>96</v>
      </c>
      <c r="G8" s="4"/>
      <c r="H8" s="4"/>
      <c r="I8" s="4"/>
      <c r="J8" s="4"/>
      <c r="K8" s="4"/>
      <c r="L8" s="4"/>
      <c r="M8" s="4"/>
      <c r="N8" s="4"/>
      <c r="O8" s="4"/>
    </row>
    <row r="9" ht="45" spans="2:17">
      <c r="B9" s="13" t="s">
        <v>97</v>
      </c>
      <c r="C9" s="6" t="s">
        <v>98</v>
      </c>
      <c r="D9" s="14">
        <v>0.5922</v>
      </c>
      <c r="F9" s="4" t="s">
        <v>14</v>
      </c>
      <c r="G9" s="4" t="s">
        <v>99</v>
      </c>
      <c r="H9" s="4" t="s">
        <v>100</v>
      </c>
      <c r="I9" s="4" t="s">
        <v>101</v>
      </c>
      <c r="J9" s="4" t="s">
        <v>102</v>
      </c>
      <c r="K9" s="4" t="s">
        <v>103</v>
      </c>
      <c r="L9" s="4" t="s">
        <v>104</v>
      </c>
      <c r="M9" s="4" t="s">
        <v>105</v>
      </c>
      <c r="N9" s="4" t="s">
        <v>106</v>
      </c>
      <c r="O9" s="4" t="s">
        <v>107</v>
      </c>
      <c r="P9"/>
      <c r="Q9"/>
    </row>
    <row r="10" spans="2:17">
      <c r="B10" s="5" t="s">
        <v>108</v>
      </c>
      <c r="C10" s="6" t="s">
        <v>109</v>
      </c>
      <c r="D10" s="7">
        <v>6.54</v>
      </c>
      <c r="F10" s="15" t="str">
        <f>IF($F$3="","",$F$3)</f>
        <v>08 passageiros</v>
      </c>
      <c r="G10" s="16">
        <v>0.01</v>
      </c>
      <c r="H10" s="16">
        <v>0.02</v>
      </c>
      <c r="I10" s="29">
        <v>216.15</v>
      </c>
      <c r="J10" s="29">
        <v>0</v>
      </c>
      <c r="K10" s="29">
        <v>676</v>
      </c>
      <c r="L10" s="29">
        <v>1020</v>
      </c>
      <c r="M10" s="29">
        <v>0</v>
      </c>
      <c r="N10" s="29">
        <v>385.29</v>
      </c>
      <c r="O10" s="30">
        <v>0.5</v>
      </c>
      <c r="P10" s="31"/>
      <c r="Q10"/>
    </row>
    <row r="11" spans="2:17">
      <c r="B11" s="5"/>
      <c r="C11" s="6" t="s">
        <v>110</v>
      </c>
      <c r="D11" s="7">
        <v>6.46</v>
      </c>
      <c r="F11" s="15" t="str">
        <f>IF($F$4="","",$F$4)</f>
        <v>15 passageiros</v>
      </c>
      <c r="G11" s="17">
        <v>0.01</v>
      </c>
      <c r="H11" s="17">
        <v>0.01</v>
      </c>
      <c r="I11" s="32">
        <v>216.15</v>
      </c>
      <c r="J11" s="32">
        <v>0</v>
      </c>
      <c r="K11" s="32">
        <v>676</v>
      </c>
      <c r="L11" s="32">
        <v>1020</v>
      </c>
      <c r="M11" s="32">
        <v>0</v>
      </c>
      <c r="N11" s="32">
        <v>385.29</v>
      </c>
      <c r="O11" s="30">
        <v>0.5</v>
      </c>
      <c r="P11" s="31"/>
      <c r="Q11"/>
    </row>
    <row r="12" spans="2:17">
      <c r="B12" s="5" t="s">
        <v>111</v>
      </c>
      <c r="C12" s="18" t="s">
        <v>112</v>
      </c>
      <c r="D12" s="19">
        <v>19</v>
      </c>
      <c r="F12" s="15" t="str">
        <f>IF($F$5="","",$F$5)</f>
        <v>23 passageiros</v>
      </c>
      <c r="G12" s="17">
        <v>0.01</v>
      </c>
      <c r="H12" s="17">
        <v>0.01</v>
      </c>
      <c r="I12" s="32">
        <v>216.15</v>
      </c>
      <c r="J12" s="32">
        <v>0</v>
      </c>
      <c r="K12" s="32">
        <v>676</v>
      </c>
      <c r="L12" s="32">
        <v>1020</v>
      </c>
      <c r="M12" s="32">
        <v>0</v>
      </c>
      <c r="N12" s="32">
        <v>385.29</v>
      </c>
      <c r="O12" s="30">
        <v>0.5</v>
      </c>
      <c r="P12"/>
      <c r="Q12"/>
    </row>
    <row r="13" spans="2:17">
      <c r="B13" s="5"/>
      <c r="C13" s="18" t="s">
        <v>113</v>
      </c>
      <c r="D13" s="20">
        <v>205</v>
      </c>
      <c r="F13" s="15" t="str">
        <f>IF($F$6="","",$F$6)</f>
        <v>41 passageiros</v>
      </c>
      <c r="G13" s="17">
        <v>0.01</v>
      </c>
      <c r="H13" s="17">
        <v>0.01</v>
      </c>
      <c r="I13" s="32">
        <v>216.15</v>
      </c>
      <c r="J13" s="32">
        <v>0</v>
      </c>
      <c r="K13" s="32">
        <v>676</v>
      </c>
      <c r="L13" s="32">
        <v>1020</v>
      </c>
      <c r="M13" s="32">
        <v>0</v>
      </c>
      <c r="N13" s="32">
        <v>385.29</v>
      </c>
      <c r="O13" s="30">
        <v>0.5</v>
      </c>
      <c r="P13" s="33"/>
      <c r="Q13"/>
    </row>
    <row r="14" spans="2:4">
      <c r="B14" s="5"/>
      <c r="C14" s="18"/>
      <c r="D14" s="20"/>
    </row>
    <row r="15" ht="25.5" customHeight="1" spans="2:16">
      <c r="B15" s="13" t="s">
        <v>114</v>
      </c>
      <c r="C15" s="18" t="s">
        <v>115</v>
      </c>
      <c r="D15" s="14">
        <v>0.0065</v>
      </c>
      <c r="F15" s="4" t="s">
        <v>116</v>
      </c>
      <c r="G15" s="4"/>
      <c r="H15" s="4"/>
      <c r="I15" s="4"/>
      <c r="J15" s="4"/>
      <c r="K15" s="4"/>
      <c r="L15" s="4"/>
      <c r="M15" s="4"/>
      <c r="N15" s="4"/>
      <c r="O15" s="4"/>
      <c r="P15" s="4"/>
    </row>
    <row r="16" ht="30" spans="2:16">
      <c r="B16" s="13"/>
      <c r="C16" s="18" t="s">
        <v>117</v>
      </c>
      <c r="D16" s="14">
        <v>0.03</v>
      </c>
      <c r="F16" s="4" t="s">
        <v>72</v>
      </c>
      <c r="G16" s="4" t="s">
        <v>118</v>
      </c>
      <c r="H16" s="4" t="s">
        <v>119</v>
      </c>
      <c r="I16" s="4" t="s">
        <v>120</v>
      </c>
      <c r="J16" s="4" t="s">
        <v>121</v>
      </c>
      <c r="K16" s="4" t="s">
        <v>122</v>
      </c>
      <c r="L16" s="4" t="s">
        <v>123</v>
      </c>
      <c r="M16" s="4" t="s">
        <v>124</v>
      </c>
      <c r="N16" s="4" t="s">
        <v>125</v>
      </c>
      <c r="O16" s="4" t="str">
        <f>M9</f>
        <v>Seguro</v>
      </c>
      <c r="P16" s="4" t="s">
        <v>126</v>
      </c>
    </row>
    <row r="17" spans="2:17">
      <c r="B17" s="13"/>
      <c r="C17" s="18" t="s">
        <v>127</v>
      </c>
      <c r="D17" s="14">
        <v>0.03</v>
      </c>
      <c r="F17" s="15" t="str">
        <f>IF($F$3="","",$F$3)</f>
        <v>08 passageiros</v>
      </c>
      <c r="G17" s="10">
        <f>ROUND(((H3-K3*J3)*((1+G10)^12-1))/12,2)</f>
        <v>378.74</v>
      </c>
      <c r="H17" s="10">
        <f>ROUND(((H3-K3*J3)*(1-M3))/(L3*12),2)</f>
        <v>238.9</v>
      </c>
      <c r="I17" s="34">
        <f>ROUND(I10/12,2)</f>
        <v>18.01</v>
      </c>
      <c r="J17" s="34">
        <f>ROUND(J10/12,2)</f>
        <v>0</v>
      </c>
      <c r="K17" s="34">
        <f>ROUND((H3*H10)/12,2)</f>
        <v>63.04</v>
      </c>
      <c r="L17" s="34">
        <f>ROUND(N10/12+O10*$D$12,2)</f>
        <v>41.61</v>
      </c>
      <c r="M17" s="34">
        <f>ROUND(K10/12,2)</f>
        <v>56.33</v>
      </c>
      <c r="N17" s="34">
        <f>ROUND(L10/12,2)</f>
        <v>85</v>
      </c>
      <c r="O17" s="34">
        <f>ROUND(M10/12,2)</f>
        <v>0</v>
      </c>
      <c r="P17" s="35">
        <f>SUM(G17:O17)</f>
        <v>881.63</v>
      </c>
      <c r="Q17" s="36"/>
    </row>
    <row r="18" spans="2:16">
      <c r="B18" s="13" t="s">
        <v>128</v>
      </c>
      <c r="C18" s="12" t="s">
        <v>129</v>
      </c>
      <c r="D18" s="14">
        <v>0.05</v>
      </c>
      <c r="F18" s="15" t="str">
        <f>IF($F$4="","",$F$4)</f>
        <v>15 passageiros</v>
      </c>
      <c r="G18" s="10">
        <f>ROUND(((H4-K4*J4)*((1+G11)^12-1))/12,2)</f>
        <v>832.71</v>
      </c>
      <c r="H18" s="10">
        <f>ROUND(((H4-K4*J4)*(1-M4))/(L4*12),2)</f>
        <v>525.27</v>
      </c>
      <c r="I18" s="34">
        <f t="shared" ref="I18:J20" si="0">ROUND(I11/12,2)</f>
        <v>18.01</v>
      </c>
      <c r="J18" s="34">
        <f t="shared" si="0"/>
        <v>0</v>
      </c>
      <c r="K18" s="34">
        <f t="shared" ref="K18:K20" si="1">ROUND((H4*H11)/12,2)</f>
        <v>68.15</v>
      </c>
      <c r="L18" s="34">
        <f t="shared" ref="L18:L20" si="2">ROUND(N11/12+O11*$D$12,2)</f>
        <v>41.61</v>
      </c>
      <c r="M18" s="34">
        <f t="shared" ref="M18:O20" si="3">ROUND(K11/12,2)</f>
        <v>56.33</v>
      </c>
      <c r="N18" s="34">
        <f t="shared" si="3"/>
        <v>85</v>
      </c>
      <c r="O18" s="34">
        <f t="shared" si="3"/>
        <v>0</v>
      </c>
      <c r="P18" s="35">
        <f>SUM(G18:O18)</f>
        <v>1627.08</v>
      </c>
    </row>
    <row r="19" spans="2:16">
      <c r="B19" s="13"/>
      <c r="C19" s="18" t="s">
        <v>130</v>
      </c>
      <c r="D19" s="21">
        <v>0</v>
      </c>
      <c r="F19" s="15" t="str">
        <f>IF($F$5="","",$F$5)</f>
        <v>23 passageiros</v>
      </c>
      <c r="G19" s="10">
        <f>ROUND(((H5-K5*J5)*((1+G12)^12-1))/12,2)</f>
        <v>841.26</v>
      </c>
      <c r="H19" s="10">
        <f>ROUND(((H5-K5*J5)*(1-M5))/(L5*12),2)</f>
        <v>442.22</v>
      </c>
      <c r="I19" s="34">
        <f t="shared" si="0"/>
        <v>18.01</v>
      </c>
      <c r="J19" s="34">
        <f t="shared" si="0"/>
        <v>0</v>
      </c>
      <c r="K19" s="34">
        <f t="shared" si="1"/>
        <v>73.03</v>
      </c>
      <c r="L19" s="34">
        <f t="shared" si="2"/>
        <v>41.61</v>
      </c>
      <c r="M19" s="34">
        <f t="shared" si="3"/>
        <v>56.33</v>
      </c>
      <c r="N19" s="34">
        <f t="shared" si="3"/>
        <v>85</v>
      </c>
      <c r="O19" s="34">
        <f t="shared" si="3"/>
        <v>0</v>
      </c>
      <c r="P19" s="35">
        <f>SUM(G19:O19)</f>
        <v>1557.46</v>
      </c>
    </row>
    <row r="20" customHeight="1" spans="6:16">
      <c r="F20" s="15" t="str">
        <f>IF($F$6="","",$F$6)</f>
        <v>41 passageiros</v>
      </c>
      <c r="G20" s="10">
        <f>ROUND(((H6-K6*J6)*((1+G13)^12-1))/12,2)</f>
        <v>1109.87</v>
      </c>
      <c r="H20" s="10">
        <f>ROUND(((H6-K6*J6)*(1-M6))/(L6*12),2)</f>
        <v>583.41</v>
      </c>
      <c r="I20" s="34">
        <f t="shared" si="0"/>
        <v>18.01</v>
      </c>
      <c r="J20" s="34">
        <f t="shared" si="0"/>
        <v>0</v>
      </c>
      <c r="K20" s="34">
        <f t="shared" si="1"/>
        <v>98.07</v>
      </c>
      <c r="L20" s="34">
        <f t="shared" si="2"/>
        <v>41.61</v>
      </c>
      <c r="M20" s="34">
        <f t="shared" si="3"/>
        <v>56.33</v>
      </c>
      <c r="N20" s="34">
        <f t="shared" si="3"/>
        <v>85</v>
      </c>
      <c r="O20" s="34">
        <f t="shared" si="3"/>
        <v>0</v>
      </c>
      <c r="P20" s="35">
        <f>SUM(G20:O20)</f>
        <v>1992.3</v>
      </c>
    </row>
    <row r="21" customHeight="1" spans="2:15">
      <c r="B21" s="22" t="s">
        <v>131</v>
      </c>
      <c r="C21" s="22"/>
      <c r="D21" s="22"/>
      <c r="G21" s="23"/>
      <c r="H21" s="23"/>
      <c r="I21" s="23"/>
      <c r="J21" s="23"/>
      <c r="K21" s="23"/>
      <c r="L21" s="23"/>
      <c r="M21" s="23"/>
      <c r="N21" s="23"/>
      <c r="O21" s="23"/>
    </row>
    <row r="22" customHeight="1" spans="2:13">
      <c r="B22" s="22"/>
      <c r="C22" s="22"/>
      <c r="D22" s="22"/>
      <c r="F22" s="4" t="s">
        <v>132</v>
      </c>
      <c r="G22" s="4"/>
      <c r="H22" s="4"/>
      <c r="I22" s="4"/>
      <c r="J22" s="4"/>
      <c r="L22" s="36"/>
      <c r="M22" s="36"/>
    </row>
    <row r="23" spans="2:12">
      <c r="B23" s="22"/>
      <c r="C23" s="22"/>
      <c r="D23" s="22"/>
      <c r="F23" s="4" t="s">
        <v>14</v>
      </c>
      <c r="G23" s="4" t="s">
        <v>108</v>
      </c>
      <c r="H23" s="4" t="s">
        <v>133</v>
      </c>
      <c r="I23" s="4" t="s">
        <v>134</v>
      </c>
      <c r="J23" s="4" t="s">
        <v>135</v>
      </c>
      <c r="L23" s="36"/>
    </row>
    <row r="24" spans="2:11">
      <c r="B24" s="22"/>
      <c r="C24" s="22"/>
      <c r="D24" s="22"/>
      <c r="F24" s="15" t="str">
        <f>IF($F$3="","",$F$3)</f>
        <v>08 passageiros</v>
      </c>
      <c r="G24" s="24">
        <v>0.16667</v>
      </c>
      <c r="H24" s="24">
        <v>0.04</v>
      </c>
      <c r="I24" s="24">
        <v>8.88888888888889e-5</v>
      </c>
      <c r="J24" s="24">
        <v>3.33333333333333e-6</v>
      </c>
      <c r="K24" s="36"/>
    </row>
    <row r="25" spans="2:10">
      <c r="B25" s="25"/>
      <c r="C25" s="25"/>
      <c r="D25" s="25"/>
      <c r="F25" s="15" t="str">
        <f>IF($F$4="","",$F$4)</f>
        <v>15 passageiros</v>
      </c>
      <c r="G25" s="26">
        <v>0.25</v>
      </c>
      <c r="H25" s="26">
        <v>0.04</v>
      </c>
      <c r="I25" s="26">
        <v>8.88888888888889e-5</v>
      </c>
      <c r="J25" s="26">
        <v>3.33333333333333e-6</v>
      </c>
    </row>
    <row r="26" spans="6:10">
      <c r="F26" s="15" t="str">
        <f>IF($F$5="","",$F$5)</f>
        <v>23 passageiros</v>
      </c>
      <c r="G26" s="26">
        <v>0.32</v>
      </c>
      <c r="H26" s="26">
        <v>0.05</v>
      </c>
      <c r="I26" s="26">
        <v>8.88888888888889e-5</v>
      </c>
      <c r="J26" s="26">
        <v>3.33333333333333e-6</v>
      </c>
    </row>
    <row r="27" spans="6:10">
      <c r="F27" s="15" t="str">
        <f>IF($F$6="","",$F$6)</f>
        <v>41 passageiros</v>
      </c>
      <c r="G27" s="26">
        <v>0.35</v>
      </c>
      <c r="H27" s="26">
        <v>0.06</v>
      </c>
      <c r="I27" s="26">
        <v>8.88888888888889e-5</v>
      </c>
      <c r="J27" s="26">
        <v>3.33333333333333e-6</v>
      </c>
    </row>
    <row r="28" spans="7:7">
      <c r="G28" s="2"/>
    </row>
    <row r="29" spans="7:7">
      <c r="G29" s="2"/>
    </row>
    <row r="30" spans="7:7">
      <c r="G30" s="2"/>
    </row>
  </sheetData>
  <protectedRanges>
    <protectedRange sqref="H24:J24 H10:J10" name="Dados de Entrada_4_1"/>
  </protectedRanges>
  <mergeCells count="11">
    <mergeCell ref="B1:D1"/>
    <mergeCell ref="F1:M1"/>
    <mergeCell ref="F8:O8"/>
    <mergeCell ref="F15:P15"/>
    <mergeCell ref="F22:J22"/>
    <mergeCell ref="B3:B8"/>
    <mergeCell ref="B10:B11"/>
    <mergeCell ref="B12:B14"/>
    <mergeCell ref="B15:B17"/>
    <mergeCell ref="B18:B19"/>
    <mergeCell ref="B21:D24"/>
  </mergeCells>
  <pageMargins left="0.511811023622047" right="0.511811023622047" top="0.78740157480315" bottom="0.78740157480315" header="0.31496062992126" footer="0.31496062992126"/>
  <pageSetup paperSize="9" scale="53" fitToHeight="0" orientation="landscape"/>
  <headerFooter/>
  <colBreaks count="1" manualBreakCount="1">
    <brk id="16" max="24" man="1"/>
  </col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3" master="" otherUserPermission="visible"/>
  <rangeList sheetStid="5" master="" otherUserPermission="visible"/>
  <rangeList sheetStid="2" master="" otherUserPermission="visible">
    <arrUserId title="Dados de Entrada_4_1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Company>SEDU</Company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CUSTO TOTAL - 1 ANO</vt:lpstr>
      <vt:lpstr>2025</vt:lpstr>
      <vt:lpstr>2026</vt:lpstr>
      <vt:lpstr>INSUMOS ATUAL - PADRÃO SEDU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Leonardo Altoé Bruschi</dc:creator>
  <cp:lastModifiedBy>USER</cp:lastModifiedBy>
  <dcterms:created xsi:type="dcterms:W3CDTF">2025-05-29T14:16:00Z</dcterms:created>
  <cp:lastPrinted>2025-05-29T14:50:00Z</cp:lastPrinted>
  <dcterms:modified xsi:type="dcterms:W3CDTF">2025-07-11T16:57:41Z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1AA285387B914DD89C8662B6B55A23A9_13</vt:lpwstr>
  </property>
  <property fmtid="{D5CDD505-2E9C-101B-9397-08002B2CF9AE}" pid="3" name="KSOProductBuildVer">
    <vt:lpwstr>1046-12.2.0.21931</vt:lpwstr>
  </property>
</Properties>
</file>