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6\transporte-escolar.doc\2026\4 - DOCUMENTOS TÉCNICOS\01 - LICITAÇÕES E DISPENSAS\01 - Licitação - Terceirização 2026\03 - Tabelas e demais arquivos\"/>
    </mc:Choice>
  </mc:AlternateContent>
  <xr:revisionPtr revIDLastSave="0" documentId="13_ncr:1_{8DEE1BD2-09DD-4373-B50F-8210938F73F4}" xr6:coauthVersionLast="47" xr6:coauthVersionMax="47" xr10:uidLastSave="{00000000-0000-0000-0000-000000000000}"/>
  <bookViews>
    <workbookView xWindow="-120" yWindow="-120" windowWidth="29040" windowHeight="15840" xr2:uid="{2F796597-D21F-4305-A0FB-EE2F34F773F4}"/>
  </bookViews>
  <sheets>
    <sheet name="CÁLCULO" sheetId="1" r:id="rId1"/>
    <sheet name="INSUMOS ATUAL" sheetId="2" r:id="rId2"/>
  </sheets>
  <definedNames>
    <definedName name="_xlnm.Print_Area" localSheetId="0">CÁLCULO!$A$1:$V$27</definedName>
    <definedName name="_xlnm.Print_Area" localSheetId="1">'INSUMOS ATUAL'!$A$1:$P$28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3" i="1" l="1"/>
  <c r="X4" i="1"/>
  <c r="X5" i="1"/>
  <c r="X6" i="1"/>
  <c r="F27" i="2" l="1"/>
  <c r="F26" i="2"/>
  <c r="F25" i="2"/>
  <c r="F24" i="2"/>
  <c r="O20" i="2"/>
  <c r="N20" i="2"/>
  <c r="M20" i="2"/>
  <c r="L20" i="2"/>
  <c r="K20" i="2"/>
  <c r="J20" i="2"/>
  <c r="I20" i="2"/>
  <c r="H20" i="2"/>
  <c r="G20" i="2"/>
  <c r="F20" i="2"/>
  <c r="O19" i="2"/>
  <c r="N19" i="2"/>
  <c r="M19" i="2"/>
  <c r="L19" i="2"/>
  <c r="K19" i="2"/>
  <c r="J19" i="2"/>
  <c r="I19" i="2"/>
  <c r="H19" i="2"/>
  <c r="G19" i="2"/>
  <c r="P19" i="2" s="1"/>
  <c r="F19" i="2"/>
  <c r="O18" i="2"/>
  <c r="N18" i="2"/>
  <c r="M18" i="2"/>
  <c r="L18" i="2"/>
  <c r="K18" i="2"/>
  <c r="J18" i="2"/>
  <c r="I18" i="2"/>
  <c r="H18" i="2"/>
  <c r="G18" i="2"/>
  <c r="F18" i="2"/>
  <c r="O17" i="2"/>
  <c r="N17" i="2"/>
  <c r="M17" i="2"/>
  <c r="L17" i="2"/>
  <c r="K17" i="2"/>
  <c r="J17" i="2"/>
  <c r="I17" i="2"/>
  <c r="H17" i="2"/>
  <c r="G17" i="2"/>
  <c r="F17" i="2"/>
  <c r="O16" i="2"/>
  <c r="F13" i="2"/>
  <c r="F12" i="2"/>
  <c r="F11" i="2"/>
  <c r="F10" i="2"/>
  <c r="S22" i="1"/>
  <c r="R22" i="1"/>
  <c r="Q22" i="1"/>
  <c r="N22" i="1"/>
  <c r="M22" i="1"/>
  <c r="J22" i="1"/>
  <c r="O21" i="1"/>
  <c r="K21" i="1"/>
  <c r="O20" i="1"/>
  <c r="K20" i="1"/>
  <c r="O19" i="1"/>
  <c r="K19" i="1"/>
  <c r="O18" i="1"/>
  <c r="K18" i="1"/>
  <c r="L18" i="1" s="1"/>
  <c r="V18" i="1" s="1"/>
  <c r="O17" i="1"/>
  <c r="K17" i="1"/>
  <c r="O16" i="1"/>
  <c r="K16" i="1"/>
  <c r="O15" i="1"/>
  <c r="K15" i="1"/>
  <c r="L15" i="1" s="1"/>
  <c r="V15" i="1" s="1"/>
  <c r="O14" i="1"/>
  <c r="K14" i="1"/>
  <c r="O13" i="1"/>
  <c r="K13" i="1"/>
  <c r="L13" i="1" s="1"/>
  <c r="V13" i="1" s="1"/>
  <c r="O12" i="1"/>
  <c r="K12" i="1"/>
  <c r="O11" i="1"/>
  <c r="K11" i="1"/>
  <c r="L11" i="1" s="1"/>
  <c r="V11" i="1" s="1"/>
  <c r="O10" i="1"/>
  <c r="K10" i="1"/>
  <c r="P20" i="2" l="1"/>
  <c r="P17" i="2"/>
  <c r="P18" i="2"/>
  <c r="K22" i="1"/>
  <c r="O22" i="1"/>
  <c r="P13" i="1"/>
  <c r="T13" i="1"/>
  <c r="U13" i="1" s="1"/>
  <c r="T15" i="1"/>
  <c r="U15" i="1" s="1"/>
  <c r="P15" i="1"/>
  <c r="T11" i="1"/>
  <c r="U11" i="1" s="1"/>
  <c r="P11" i="1"/>
  <c r="T18" i="1"/>
  <c r="U18" i="1" s="1"/>
  <c r="P18" i="1"/>
  <c r="L19" i="1"/>
  <c r="V19" i="1" s="1"/>
  <c r="L14" i="1"/>
  <c r="V14" i="1" s="1"/>
  <c r="L17" i="1"/>
  <c r="V17" i="1" s="1"/>
  <c r="L12" i="1"/>
  <c r="V12" i="1" s="1"/>
  <c r="T12" i="1" s="1"/>
  <c r="L16" i="1"/>
  <c r="V16" i="1" s="1"/>
  <c r="L21" i="1"/>
  <c r="V21" i="1" s="1"/>
  <c r="L10" i="1"/>
  <c r="V10" i="1" s="1"/>
  <c r="L20" i="1"/>
  <c r="V20" i="1" s="1"/>
  <c r="T16" i="1" l="1"/>
  <c r="U16" i="1" s="1"/>
  <c r="P16" i="1"/>
  <c r="T19" i="1"/>
  <c r="U19" i="1" s="1"/>
  <c r="P19" i="1"/>
  <c r="T20" i="1"/>
  <c r="U20" i="1" s="1"/>
  <c r="P20" i="1"/>
  <c r="T17" i="1"/>
  <c r="U17" i="1" s="1"/>
  <c r="P17" i="1"/>
  <c r="U12" i="1"/>
  <c r="P12" i="1"/>
  <c r="L22" i="1"/>
  <c r="T21" i="1"/>
  <c r="U21" i="1" s="1"/>
  <c r="P21" i="1"/>
  <c r="T14" i="1"/>
  <c r="U14" i="1" s="1"/>
  <c r="P14" i="1"/>
  <c r="P10" i="1" l="1"/>
  <c r="P22" i="1" s="1"/>
  <c r="T10" i="1"/>
  <c r="T22" i="1" s="1"/>
  <c r="V22" i="1"/>
  <c r="U10" i="1" l="1"/>
  <c r="U22" i="1" s="1"/>
</calcChain>
</file>

<file path=xl/sharedStrings.xml><?xml version="1.0" encoding="utf-8"?>
<sst xmlns="http://schemas.openxmlformats.org/spreadsheetml/2006/main" count="161" uniqueCount="126">
  <si>
    <t>DIAS SEMANA</t>
  </si>
  <si>
    <t>DIAS ANO</t>
  </si>
  <si>
    <t>MÊS ANO</t>
  </si>
  <si>
    <t>OBS</t>
  </si>
  <si>
    <t>Regular/EJA</t>
  </si>
  <si>
    <t>AEE/CAEE</t>
  </si>
  <si>
    <t>Veículo</t>
  </si>
  <si>
    <t>Codigo da(s)
Rota(s)</t>
  </si>
  <si>
    <t>Tipo de Veículo</t>
  </si>
  <si>
    <t>Tipo
Atendimento</t>
  </si>
  <si>
    <t>Dias Letivos
por Semana</t>
  </si>
  <si>
    <t>Monitor</t>
  </si>
  <si>
    <t>% km pav</t>
  </si>
  <si>
    <t>% Poliedro</t>
  </si>
  <si>
    <t>% km npav</t>
  </si>
  <si>
    <t>Km Diário</t>
  </si>
  <si>
    <t>Km pav</t>
  </si>
  <si>
    <t>Km Npav</t>
  </si>
  <si>
    <t>Aluno
Estado</t>
  </si>
  <si>
    <t>Aluno
Município</t>
  </si>
  <si>
    <t>Aluno
Total</t>
  </si>
  <si>
    <t>R$/km</t>
  </si>
  <si>
    <t>Fixo</t>
  </si>
  <si>
    <t>Variável
pav</t>
  </si>
  <si>
    <t>Variável
Npav</t>
  </si>
  <si>
    <t>Custo
Estado</t>
  </si>
  <si>
    <t>Custo
Município</t>
  </si>
  <si>
    <t>Custo
Total</t>
  </si>
  <si>
    <t>20252955026-20252955036</t>
  </si>
  <si>
    <t>15 passageiros</t>
  </si>
  <si>
    <t>Empresa</t>
  </si>
  <si>
    <t>SIM (4h)</t>
  </si>
  <si>
    <t>20252955002-20252955016-20252955002-20251955115-20251955116</t>
  </si>
  <si>
    <t>41 passageiros</t>
  </si>
  <si>
    <t>SIM (8h)</t>
  </si>
  <si>
    <t>2025195582-20252955006-2025195582-20251955117-20251955118</t>
  </si>
  <si>
    <t>20252955007-20251955119-20251955120</t>
  </si>
  <si>
    <t>23 passageiros</t>
  </si>
  <si>
    <t>20251955068-20251955121-20251955122</t>
  </si>
  <si>
    <t>20251955070-20252955017-20251955123-20251955124</t>
  </si>
  <si>
    <t>20251955170-20251955131-20251955132</t>
  </si>
  <si>
    <t>20252955010-20252955001-20251955103-20251955104</t>
  </si>
  <si>
    <t>20252555011-20251955105-20251955106</t>
  </si>
  <si>
    <t>20251955076-20252955012-20251955107-20251955108</t>
  </si>
  <si>
    <t>20252955013-20251955109-20251955110</t>
  </si>
  <si>
    <t>20251955086-20251955113-20251955114</t>
  </si>
  <si>
    <t>TOTAL/MÉDIA</t>
  </si>
  <si>
    <t>TABELA DE INSUMOS - SAO ROQUE DO CANAA</t>
  </si>
  <si>
    <t>INFORMAÇÕES DOS VEÍCULOS</t>
  </si>
  <si>
    <t>GRUPO</t>
  </si>
  <si>
    <t>ITEM</t>
  </si>
  <si>
    <t>R$</t>
  </si>
  <si>
    <t>Tipo veículo</t>
  </si>
  <si>
    <t>Modelo
Veículo</t>
  </si>
  <si>
    <t>Valor 
Veículo</t>
  </si>
  <si>
    <t>Tipo
Pneu</t>
  </si>
  <si>
    <t>Valor
Pneu</t>
  </si>
  <si>
    <t>Quantidade
Pneus</t>
  </si>
  <si>
    <t>Vida Útil
 (anos)</t>
  </si>
  <si>
    <t>Valor
Residual</t>
  </si>
  <si>
    <t>Salário / Benefícios</t>
  </si>
  <si>
    <t>Motorista de Veículos de 23 e 44 passageiros</t>
  </si>
  <si>
    <t>08 passageiros</t>
  </si>
  <si>
    <t>VW  Kombi Escolar/50 anos 1.4 Mi Total Flex - Ano 2011 – Gasolina</t>
  </si>
  <si>
    <t>185R14</t>
  </si>
  <si>
    <t>Motorista de Veículos de 08 e 15 passageiros</t>
  </si>
  <si>
    <t>Mercedes-Benz  - Sprinter 313 VAN Street Std. 16L. Dies– Ano 2011 – Diesel</t>
  </si>
  <si>
    <t>205/75R16</t>
  </si>
  <si>
    <t>Monitor do Transporte</t>
  </si>
  <si>
    <t>31 NEOBUS - THUNDER + LOT./ESC./ SPTRANS (diesel) - Ano 2011 – Diesel</t>
  </si>
  <si>
    <t>215/75R17,5</t>
  </si>
  <si>
    <t>Ticket/Vale Alimentação</t>
  </si>
  <si>
    <t>Ônibus Urbano - M.BENZ/INDUSCAR APACHE U- Ano 2011 – Diesel</t>
  </si>
  <si>
    <t>275/80R22,5</t>
  </si>
  <si>
    <t>Plano de Saúde</t>
  </si>
  <si>
    <t>Seguro de Vida</t>
  </si>
  <si>
    <t>TAXAS E CUSTOS DOS VEÍCULOS</t>
  </si>
  <si>
    <t>Encargos</t>
  </si>
  <si>
    <t>Encargos Sociais e Trabalhistas</t>
  </si>
  <si>
    <t>Remuneração Capital (% a.m)</t>
  </si>
  <si>
    <t>IPVA
(% a.a)</t>
  </si>
  <si>
    <t>CRLV
(R$/ano)</t>
  </si>
  <si>
    <t>DPVAT
(R$/ano)</t>
  </si>
  <si>
    <t>Vistoria DETRAN
(R$/ano)</t>
  </si>
  <si>
    <t>GPS
(R$/ano)</t>
  </si>
  <si>
    <t>Seguro</t>
  </si>
  <si>
    <t>Inspeção Tacógrafo
(R$/ano)</t>
  </si>
  <si>
    <t>Valor Disco Tacógrafo (un)</t>
  </si>
  <si>
    <t>Combustível</t>
  </si>
  <si>
    <t>Gasolina</t>
  </si>
  <si>
    <t>Diesel</t>
  </si>
  <si>
    <t>Dias Letivos</t>
  </si>
  <si>
    <t>Dias Letivos Mês</t>
  </si>
  <si>
    <t>Dias Letivos Ano Regular</t>
  </si>
  <si>
    <t>Dias Letivos Ano EJA</t>
  </si>
  <si>
    <t>Tributação</t>
  </si>
  <si>
    <t>PIS</t>
  </si>
  <si>
    <t>TABELA RESUMO DE CUSTOS FIXOS MENSAIS DOS VEÍCULOS (R$)</t>
  </si>
  <si>
    <t>COFINS</t>
  </si>
  <si>
    <t>Remuneração do Capital</t>
  </si>
  <si>
    <t>Depreciação do veículo</t>
  </si>
  <si>
    <t>CRLV</t>
  </si>
  <si>
    <t>DPVAT</t>
  </si>
  <si>
    <t>IPVA</t>
  </si>
  <si>
    <t>Tacógrafo</t>
  </si>
  <si>
    <t>Vistoria
DETRAN/ITL</t>
  </si>
  <si>
    <t>GPS</t>
  </si>
  <si>
    <t>TOTAL</t>
  </si>
  <si>
    <t>ISS</t>
  </si>
  <si>
    <t>Outros</t>
  </si>
  <si>
    <t>Despesa Administrativa</t>
  </si>
  <si>
    <t>Km para Inspeção do Veículo</t>
  </si>
  <si>
    <r>
      <rPr>
        <b/>
        <sz val="11"/>
        <color theme="1"/>
        <rFont val="Calibri"/>
        <family val="2"/>
        <scheme val="minor"/>
      </rPr>
      <t>Observação:</t>
    </r>
    <r>
      <rPr>
        <sz val="11"/>
        <color theme="1"/>
        <rFont val="Calibri"/>
        <family val="2"/>
        <scheme val="minor"/>
      </rPr>
      <t xml:space="preserve"> As capacidades dos veículos definidas pela SEDU são as mínimas exigidas em cada uma das 4 faixas de veículos (08, 15, 23 e 41 passageiros), podendo ser executadas por veículos de maior capacidade nos casos em que a via permita e que não haja prejuízo aos alunos.</t>
    </r>
  </si>
  <si>
    <t>COEFICIENTES DE CONSUMO DOS VEÍCULOS</t>
  </si>
  <si>
    <t>Lubrificantes</t>
  </si>
  <si>
    <t>Rodagem</t>
  </si>
  <si>
    <t>Manutenção</t>
  </si>
  <si>
    <t>41 passageiros Adaptado</t>
  </si>
  <si>
    <t>15 passageiros Adaptado</t>
  </si>
  <si>
    <t>SÃO ROQUE DO CANAÃ</t>
  </si>
  <si>
    <t>ESTADO DO ESPÍRITO SANTO</t>
  </si>
  <si>
    <t>OBSERVAÇÕES:</t>
  </si>
  <si>
    <t>PREFEITURA MUNICIPAL</t>
  </si>
  <si>
    <t>GRUPOS FRACASSADOS - PLANILHA INDIVIDUAL PARA NOVA LICITAÇÃO NOS MESMOS MOLDES</t>
  </si>
  <si>
    <t>I - O veículo 01 executa linhas que atendem ao Estado;</t>
  </si>
  <si>
    <t>II - Os veiculos 02, 03, 04, 05, 06, 10, 21, 22, 23, 24 e 26 possui  linhas compartilhadas entre Estado e o Município (Ensino Fundamental).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</si>
</sst>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&quot;R$&quot;* #,##0.00_);_(&quot;R$&quot;* \(#,##0.00\);_(&quot;R$&quot;* &quot;-&quot;??_);_(@_)"/>
    <numFmt numFmtId="165" formatCode="#,##0.0"/>
    <numFmt numFmtId="166" formatCode="&quot;R$&quot;#,##0.00"/>
    <numFmt numFmtId="167" formatCode="_-&quot;R$&quot;* #,##0.00_-;\-&quot;R$&quot;* #,##0.00_-;_-&quot;R$&quot;* &quot;-&quot;??_-;_-@_-"/>
    <numFmt numFmtId="168" formatCode="&quot;R$&quot;\ #,##0.00"/>
    <numFmt numFmtId="169" formatCode="0.0"/>
    <numFmt numFmtId="170" formatCode="0.000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theme="8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9" fontId="0" fillId="0" borderId="1" xfId="2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164" fontId="3" fillId="4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5" borderId="6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166" fontId="0" fillId="7" borderId="6" xfId="0" applyNumberFormat="1" applyFill="1" applyBorder="1" applyAlignment="1">
      <alignment horizontal="center" vertical="center"/>
    </xf>
    <xf numFmtId="167" fontId="0" fillId="0" borderId="0" xfId="0" applyNumberFormat="1" applyAlignment="1">
      <alignment vertical="center"/>
    </xf>
    <xf numFmtId="168" fontId="0" fillId="7" borderId="6" xfId="1" applyNumberFormat="1" applyFont="1" applyFill="1" applyBorder="1" applyAlignment="1">
      <alignment horizontal="center" vertical="center" wrapText="1"/>
    </xf>
    <xf numFmtId="168" fontId="0" fillId="0" borderId="6" xfId="1" applyNumberFormat="1" applyFont="1" applyFill="1" applyBorder="1" applyAlignment="1">
      <alignment horizontal="center" vertical="center" wrapText="1"/>
    </xf>
    <xf numFmtId="1" fontId="0" fillId="0" borderId="6" xfId="1" applyNumberFormat="1" applyFont="1" applyFill="1" applyBorder="1" applyAlignment="1">
      <alignment horizontal="center" vertical="center" wrapText="1"/>
    </xf>
    <xf numFmtId="9" fontId="0" fillId="0" borderId="6" xfId="2" applyFont="1" applyFill="1" applyBorder="1" applyAlignment="1">
      <alignment horizontal="center" vertical="center" wrapText="1"/>
    </xf>
    <xf numFmtId="164" fontId="0" fillId="0" borderId="0" xfId="0" applyNumberFormat="1" applyAlignment="1">
      <alignment vertical="center"/>
    </xf>
    <xf numFmtId="0" fontId="0" fillId="0" borderId="6" xfId="0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10" fontId="0" fillId="7" borderId="6" xfId="2" applyNumberFormat="1" applyFont="1" applyFill="1" applyBorder="1" applyAlignment="1">
      <alignment horizontal="center" vertical="center"/>
    </xf>
    <xf numFmtId="0" fontId="1" fillId="7" borderId="6" xfId="1" applyNumberFormat="1" applyFont="1" applyFill="1" applyBorder="1" applyAlignment="1">
      <alignment horizontal="center" vertical="center" wrapText="1"/>
    </xf>
    <xf numFmtId="9" fontId="4" fillId="0" borderId="6" xfId="2" applyFont="1" applyFill="1" applyBorder="1" applyAlignment="1">
      <alignment horizontal="center" vertical="center"/>
    </xf>
    <xf numFmtId="166" fontId="4" fillId="0" borderId="6" xfId="0" applyNumberFormat="1" applyFont="1" applyBorder="1" applyAlignment="1">
      <alignment horizontal="center" vertical="center"/>
    </xf>
    <xf numFmtId="166" fontId="0" fillId="0" borderId="6" xfId="1" applyNumberFormat="1" applyFont="1" applyFill="1" applyBorder="1" applyAlignment="1">
      <alignment horizontal="center" vertical="center" wrapText="1"/>
    </xf>
    <xf numFmtId="166" fontId="0" fillId="0" borderId="0" xfId="0" applyNumberFormat="1"/>
    <xf numFmtId="9" fontId="0" fillId="0" borderId="6" xfId="2" applyFont="1" applyFill="1" applyBorder="1" applyAlignment="1">
      <alignment horizontal="center" vertical="center"/>
    </xf>
    <xf numFmtId="166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vertical="center"/>
    </xf>
    <xf numFmtId="169" fontId="0" fillId="7" borderId="6" xfId="0" applyNumberFormat="1" applyFill="1" applyBorder="1" applyAlignment="1">
      <alignment horizontal="center" vertical="center"/>
    </xf>
    <xf numFmtId="1" fontId="0" fillId="7" borderId="6" xfId="0" applyNumberFormat="1" applyFill="1" applyBorder="1" applyAlignment="1">
      <alignment horizontal="center" vertical="center"/>
    </xf>
    <xf numFmtId="168" fontId="0" fillId="0" borderId="0" xfId="0" applyNumberFormat="1"/>
    <xf numFmtId="168" fontId="5" fillId="0" borderId="6" xfId="1" applyNumberFormat="1" applyFont="1" applyFill="1" applyBorder="1" applyAlignment="1">
      <alignment horizontal="center" vertical="center"/>
    </xf>
    <xf numFmtId="168" fontId="5" fillId="8" borderId="6" xfId="1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2" fontId="0" fillId="7" borderId="6" xfId="2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horizontal="center" vertical="center"/>
    </xf>
    <xf numFmtId="170" fontId="4" fillId="0" borderId="6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70" fontId="0" fillId="0" borderId="6" xfId="0" applyNumberFormat="1" applyBorder="1" applyAlignment="1">
      <alignment horizontal="center" vertical="center"/>
    </xf>
    <xf numFmtId="9" fontId="0" fillId="0" borderId="1" xfId="2" applyFont="1" applyFill="1" applyBorder="1" applyAlignment="1">
      <alignment horizontal="center" vertical="center"/>
    </xf>
    <xf numFmtId="164" fontId="0" fillId="9" borderId="1" xfId="0" applyNumberForma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666751</xdr:colOff>
      <xdr:row>0</xdr:row>
      <xdr:rowOff>47625</xdr:rowOff>
    </xdr:from>
    <xdr:to>
      <xdr:col>9</xdr:col>
      <xdr:colOff>728572</xdr:colOff>
      <xdr:row>5</xdr:row>
      <xdr:rowOff>0</xdr:rowOff>
    </xdr:to>
    <xdr:pic>
      <xdr:nvPicPr>
        <xdr:cNvPr id="4" name="Picture 1" descr="brasão">
          <a:extLst>
            <a:ext uri="{FF2B5EF4-FFF2-40B4-BE49-F238E27FC236}">
              <a16:creationId xmlns:a16="http://schemas.microsoft.com/office/drawing/2014/main" id="{BFE8B5DA-7407-4960-913D-F51FA7E98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5782" y="47625"/>
          <a:ext cx="966696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666751</xdr:colOff>
      <xdr:row>0</xdr:row>
      <xdr:rowOff>47625</xdr:rowOff>
    </xdr:from>
    <xdr:to>
      <xdr:col>9</xdr:col>
      <xdr:colOff>728572</xdr:colOff>
      <xdr:row>5</xdr:row>
      <xdr:rowOff>0</xdr:rowOff>
    </xdr:to>
    <xdr:pic>
      <xdr:nvPicPr>
        <xdr:cNvPr id="2" name="Picture 1" descr="brasão">
          <a:extLst>
            <a:ext uri="{FF2B5EF4-FFF2-40B4-BE49-F238E27FC236}">
              <a16:creationId xmlns:a16="http://schemas.microsoft.com/office/drawing/2014/main" id="{A0711315-33FE-4450-AE6C-68E76167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6" y="47625"/>
          <a:ext cx="966696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8B1EA-672A-4631-A535-77F23304EFC7}">
  <sheetPr>
    <pageSetUpPr fitToPage="1"/>
  </sheetPr>
  <dimension ref="A1:Z27"/>
  <sheetViews>
    <sheetView showGridLines="0" tabSelected="1" view="pageBreakPreview" zoomScale="80" zoomScaleNormal="70" zoomScaleSheetLayoutView="80" workbookViewId="0">
      <selection activeCell="K32" sqref="K32"/>
    </sheetView>
  </sheetViews>
  <sheetFormatPr defaultRowHeight="15" x14ac:dyDescent="0.25"/>
  <cols>
    <col min="1" max="1" width="10.28515625" style="2" bestFit="1" customWidth="1"/>
    <col min="2" max="2" width="16" style="2" bestFit="1" customWidth="1"/>
    <col min="3" max="3" width="19.5703125" style="2" bestFit="1" customWidth="1"/>
    <col min="4" max="4" width="14.5703125" style="2" bestFit="1" customWidth="1"/>
    <col min="5" max="5" width="15.28515625" style="2" bestFit="1" customWidth="1"/>
    <col min="6" max="6" width="10.140625" style="2" bestFit="1" customWidth="1"/>
    <col min="7" max="7" width="12.140625" style="2" bestFit="1" customWidth="1"/>
    <col min="8" max="8" width="13.85546875" style="2" bestFit="1" customWidth="1"/>
    <col min="9" max="9" width="13.5703125" style="2" bestFit="1" customWidth="1"/>
    <col min="10" max="10" width="12.140625" style="2" bestFit="1" customWidth="1"/>
    <col min="11" max="11" width="10" style="2" bestFit="1" customWidth="1"/>
    <col min="12" max="12" width="11.5703125" style="2" bestFit="1" customWidth="1"/>
    <col min="13" max="13" width="9.5703125" style="2" bestFit="1" customWidth="1"/>
    <col min="14" max="14" width="12.5703125" style="2" bestFit="1" customWidth="1"/>
    <col min="15" max="15" width="8.28515625" style="2" bestFit="1" customWidth="1"/>
    <col min="16" max="16" width="12.140625" style="2" bestFit="1" customWidth="1"/>
    <col min="17" max="17" width="16.42578125" style="2" bestFit="1" customWidth="1"/>
    <col min="18" max="18" width="11.5703125" style="2" bestFit="1" customWidth="1"/>
    <col min="19" max="19" width="10.7109375" style="2" bestFit="1" customWidth="1"/>
    <col min="20" max="22" width="21.7109375" style="2" bestFit="1" customWidth="1"/>
    <col min="23" max="23" width="15" style="2" bestFit="1" customWidth="1"/>
    <col min="24" max="24" width="11" style="2" bestFit="1" customWidth="1"/>
    <col min="25" max="25" width="10.5703125" style="2" bestFit="1" customWidth="1"/>
    <col min="26" max="26" width="13" style="2" bestFit="1" customWidth="1"/>
    <col min="27" max="16384" width="9.140625" style="2"/>
  </cols>
  <sheetData>
    <row r="1" spans="1:26" x14ac:dyDescent="0.25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1" t="s">
        <v>0</v>
      </c>
      <c r="X1" s="1" t="s">
        <v>1</v>
      </c>
      <c r="Y1" s="1" t="s">
        <v>2</v>
      </c>
      <c r="Z1" s="1" t="s">
        <v>3</v>
      </c>
    </row>
    <row r="2" spans="1:26" x14ac:dyDescent="0.25">
      <c r="A2" s="49" t="s">
        <v>122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3">
        <v>5</v>
      </c>
      <c r="X2" s="3">
        <v>203</v>
      </c>
      <c r="Y2" s="3">
        <v>11</v>
      </c>
      <c r="Z2" s="3" t="s">
        <v>4</v>
      </c>
    </row>
    <row r="3" spans="1:26" x14ac:dyDescent="0.25">
      <c r="A3" s="49" t="s">
        <v>119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3">
        <v>4</v>
      </c>
      <c r="X3" s="3">
        <f>ROUNDUP(X2 / W2 * W3, 0)</f>
        <v>163</v>
      </c>
      <c r="Y3" s="3">
        <v>11</v>
      </c>
      <c r="Z3" s="3"/>
    </row>
    <row r="4" spans="1:26" x14ac:dyDescent="0.25">
      <c r="A4" s="49" t="s">
        <v>120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68"/>
      <c r="W4" s="3">
        <v>3</v>
      </c>
      <c r="X4" s="3">
        <f>ROUNDUP(X2 / W2 * W4, 0)</f>
        <v>122</v>
      </c>
      <c r="Y4" s="3">
        <v>11</v>
      </c>
      <c r="Z4" s="3"/>
    </row>
    <row r="5" spans="1:26" x14ac:dyDescent="0.25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3">
        <v>2</v>
      </c>
      <c r="X5" s="3">
        <f>ROUNDUP(X2 / W2 * W5, 0)</f>
        <v>82</v>
      </c>
      <c r="Y5" s="3">
        <v>11</v>
      </c>
      <c r="Z5" s="3" t="s">
        <v>5</v>
      </c>
    </row>
    <row r="6" spans="1:26" ht="3.7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3">
        <v>1</v>
      </c>
      <c r="X6" s="3">
        <f>ROUNDUP(X2 / W2 * W6, 0)</f>
        <v>41</v>
      </c>
      <c r="Y6" s="3">
        <v>11</v>
      </c>
      <c r="Z6" s="3"/>
    </row>
    <row r="7" spans="1:26" ht="20.100000000000001" customHeight="1" x14ac:dyDescent="0.25">
      <c r="A7" s="48" t="s">
        <v>123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</row>
    <row r="8" spans="1:26" ht="5.0999999999999996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6" ht="45" customHeight="1" x14ac:dyDescent="0.25">
      <c r="A9" s="5" t="s">
        <v>6</v>
      </c>
      <c r="B9" s="6" t="s">
        <v>7</v>
      </c>
      <c r="C9" s="5" t="s">
        <v>8</v>
      </c>
      <c r="D9" s="6" t="s">
        <v>9</v>
      </c>
      <c r="E9" s="6" t="s">
        <v>10</v>
      </c>
      <c r="F9" s="5" t="s">
        <v>11</v>
      </c>
      <c r="G9" s="5" t="s">
        <v>12</v>
      </c>
      <c r="H9" s="5" t="s">
        <v>13</v>
      </c>
      <c r="I9" s="5" t="s">
        <v>14</v>
      </c>
      <c r="J9" s="5" t="s">
        <v>15</v>
      </c>
      <c r="K9" s="5" t="s">
        <v>16</v>
      </c>
      <c r="L9" s="5" t="s">
        <v>17</v>
      </c>
      <c r="M9" s="6" t="s">
        <v>18</v>
      </c>
      <c r="N9" s="6" t="s">
        <v>19</v>
      </c>
      <c r="O9" s="6" t="s">
        <v>20</v>
      </c>
      <c r="P9" s="5" t="s">
        <v>21</v>
      </c>
      <c r="Q9" s="5" t="s">
        <v>22</v>
      </c>
      <c r="R9" s="6" t="s">
        <v>23</v>
      </c>
      <c r="S9" s="6" t="s">
        <v>24</v>
      </c>
      <c r="T9" s="6" t="s">
        <v>25</v>
      </c>
      <c r="U9" s="6" t="s">
        <v>26</v>
      </c>
      <c r="V9" s="6" t="s">
        <v>27</v>
      </c>
    </row>
    <row r="10" spans="1:26" ht="30" x14ac:dyDescent="0.25">
      <c r="A10" s="3">
        <v>1</v>
      </c>
      <c r="B10" s="7" t="s">
        <v>28</v>
      </c>
      <c r="C10" s="3" t="s">
        <v>29</v>
      </c>
      <c r="D10" s="8" t="s">
        <v>30</v>
      </c>
      <c r="E10" s="3">
        <v>5</v>
      </c>
      <c r="F10" s="3" t="s">
        <v>31</v>
      </c>
      <c r="G10" s="9">
        <v>0.63</v>
      </c>
      <c r="H10" s="9">
        <v>0</v>
      </c>
      <c r="I10" s="9">
        <v>0.37</v>
      </c>
      <c r="J10" s="3">
        <v>29.4</v>
      </c>
      <c r="K10" s="3">
        <f t="shared" ref="K10:K21" si="0">ROUND(J10*G10,1)</f>
        <v>18.5</v>
      </c>
      <c r="L10" s="3">
        <f t="shared" ref="L10:L21" si="1">ROUND(J10-K10,1)</f>
        <v>10.9</v>
      </c>
      <c r="M10" s="3">
        <v>7</v>
      </c>
      <c r="N10" s="3">
        <v>0</v>
      </c>
      <c r="O10" s="3">
        <f t="shared" ref="O10:O21" si="2">ROUND(M10+N10,0)</f>
        <v>7</v>
      </c>
      <c r="P10" s="10">
        <f t="shared" ref="P10:P21" si="3">ROUND(V10/(J10*VLOOKUP(E10,$W$2:$Y$6, 2, FALSE)),2)</f>
        <v>17.62</v>
      </c>
      <c r="Q10" s="47">
        <v>7961.15</v>
      </c>
      <c r="R10" s="10">
        <v>2.61</v>
      </c>
      <c r="S10" s="10">
        <v>3.52</v>
      </c>
      <c r="T10" s="10">
        <f t="shared" ref="T10:T21" si="4">ROUND(V10*M10/O10,2)</f>
        <v>105163.21</v>
      </c>
      <c r="U10" s="10">
        <f t="shared" ref="U10:U21" si="5">ROUND(V10-T10,2)</f>
        <v>0</v>
      </c>
      <c r="V10" s="47">
        <f t="shared" ref="V10:V21" si="6">(Q10*VLOOKUP(E10,$W$2:$Y$6, 3, FALSE))+(K10*R10*VLOOKUP(E10,$W$2:$Y$6, 2, FALSE))+(S10*L10*VLOOKUP(E10,$W$2:$Y$6, 2, FALSE))</f>
        <v>105163.20899999999</v>
      </c>
    </row>
    <row r="11" spans="1:26" ht="75" x14ac:dyDescent="0.25">
      <c r="A11" s="3">
        <v>2</v>
      </c>
      <c r="B11" s="7" t="s">
        <v>32</v>
      </c>
      <c r="C11" s="7" t="s">
        <v>117</v>
      </c>
      <c r="D11" s="8" t="s">
        <v>30</v>
      </c>
      <c r="E11" s="3">
        <v>5</v>
      </c>
      <c r="F11" s="3" t="s">
        <v>34</v>
      </c>
      <c r="G11" s="46">
        <v>0.35324921135646692</v>
      </c>
      <c r="H11" s="46">
        <v>0</v>
      </c>
      <c r="I11" s="46">
        <v>0.64675078864353308</v>
      </c>
      <c r="J11" s="3">
        <v>95.1</v>
      </c>
      <c r="K11" s="3">
        <f t="shared" si="0"/>
        <v>33.6</v>
      </c>
      <c r="L11" s="3">
        <f t="shared" si="1"/>
        <v>61.5</v>
      </c>
      <c r="M11" s="3">
        <v>50</v>
      </c>
      <c r="N11" s="3">
        <v>76</v>
      </c>
      <c r="O11" s="3">
        <f t="shared" si="2"/>
        <v>126</v>
      </c>
      <c r="P11" s="10">
        <f t="shared" si="3"/>
        <v>10.62</v>
      </c>
      <c r="Q11" s="47">
        <v>10237.93</v>
      </c>
      <c r="R11" s="10">
        <v>3.91</v>
      </c>
      <c r="S11" s="10">
        <v>5.27</v>
      </c>
      <c r="T11" s="10">
        <f t="shared" si="4"/>
        <v>81380.899999999994</v>
      </c>
      <c r="U11" s="10">
        <f t="shared" si="5"/>
        <v>123698.97</v>
      </c>
      <c r="V11" s="10">
        <f t="shared" si="6"/>
        <v>205079.87300000002</v>
      </c>
    </row>
    <row r="12" spans="1:26" ht="75" x14ac:dyDescent="0.25">
      <c r="A12" s="3">
        <v>3</v>
      </c>
      <c r="B12" s="7" t="s">
        <v>35</v>
      </c>
      <c r="C12" s="3" t="s">
        <v>33</v>
      </c>
      <c r="D12" s="8" t="s">
        <v>30</v>
      </c>
      <c r="E12" s="3">
        <v>5</v>
      </c>
      <c r="F12" s="3" t="s">
        <v>34</v>
      </c>
      <c r="G12" s="9">
        <v>0.25978461538461539</v>
      </c>
      <c r="H12" s="9">
        <v>0</v>
      </c>
      <c r="I12" s="9">
        <v>0.7402153846153845</v>
      </c>
      <c r="J12" s="3">
        <v>97.5</v>
      </c>
      <c r="K12" s="3">
        <f t="shared" si="0"/>
        <v>25.3</v>
      </c>
      <c r="L12" s="3">
        <f t="shared" si="1"/>
        <v>72.2</v>
      </c>
      <c r="M12" s="3">
        <v>66</v>
      </c>
      <c r="N12" s="3">
        <v>33</v>
      </c>
      <c r="O12" s="3">
        <f t="shared" si="2"/>
        <v>99</v>
      </c>
      <c r="P12" s="10">
        <f t="shared" si="3"/>
        <v>10.36</v>
      </c>
      <c r="Q12" s="47">
        <v>10028.19</v>
      </c>
      <c r="R12" s="10">
        <v>3.8</v>
      </c>
      <c r="S12" s="10">
        <v>5.13</v>
      </c>
      <c r="T12" s="10">
        <f>ROUND(V12*M12/O12,2)</f>
        <v>136676.57999999999</v>
      </c>
      <c r="U12" s="10">
        <f t="shared" si="5"/>
        <v>68338.289999999994</v>
      </c>
      <c r="V12" s="10">
        <f t="shared" si="6"/>
        <v>205014.86800000002</v>
      </c>
    </row>
    <row r="13" spans="1:26" ht="45" x14ac:dyDescent="0.25">
      <c r="A13" s="3">
        <v>4</v>
      </c>
      <c r="B13" s="7" t="s">
        <v>36</v>
      </c>
      <c r="C13" s="3" t="s">
        <v>37</v>
      </c>
      <c r="D13" s="8" t="s">
        <v>30</v>
      </c>
      <c r="E13" s="3">
        <v>5</v>
      </c>
      <c r="F13" s="3" t="s">
        <v>34</v>
      </c>
      <c r="G13" s="9">
        <v>0.50136767317939612</v>
      </c>
      <c r="H13" s="9">
        <v>0</v>
      </c>
      <c r="I13" s="9">
        <v>0.49863232682060393</v>
      </c>
      <c r="J13" s="3">
        <v>112.6</v>
      </c>
      <c r="K13" s="3">
        <f t="shared" si="0"/>
        <v>56.5</v>
      </c>
      <c r="L13" s="3">
        <f t="shared" si="1"/>
        <v>56.1</v>
      </c>
      <c r="M13" s="3">
        <v>11</v>
      </c>
      <c r="N13" s="3">
        <v>24</v>
      </c>
      <c r="O13" s="3">
        <f t="shared" si="2"/>
        <v>35</v>
      </c>
      <c r="P13" s="10">
        <f t="shared" si="3"/>
        <v>8.5399999999999991</v>
      </c>
      <c r="Q13" s="47">
        <v>9788.02</v>
      </c>
      <c r="R13" s="10">
        <v>3.26</v>
      </c>
      <c r="S13" s="10">
        <v>4.4000000000000004</v>
      </c>
      <c r="T13" s="10">
        <f t="shared" si="4"/>
        <v>61338.3</v>
      </c>
      <c r="U13" s="10">
        <f t="shared" si="5"/>
        <v>133829.01</v>
      </c>
      <c r="V13" s="10">
        <f t="shared" si="6"/>
        <v>195167.31</v>
      </c>
    </row>
    <row r="14" spans="1:26" ht="45" x14ac:dyDescent="0.25">
      <c r="A14" s="3">
        <v>5</v>
      </c>
      <c r="B14" s="7" t="s">
        <v>38</v>
      </c>
      <c r="C14" s="3" t="s">
        <v>37</v>
      </c>
      <c r="D14" s="8" t="s">
        <v>30</v>
      </c>
      <c r="E14" s="3">
        <v>5</v>
      </c>
      <c r="F14" s="3" t="s">
        <v>34</v>
      </c>
      <c r="G14" s="9">
        <v>9.9999999999999985E-3</v>
      </c>
      <c r="H14" s="9">
        <v>0</v>
      </c>
      <c r="I14" s="9">
        <v>0.98999999999999988</v>
      </c>
      <c r="J14" s="3">
        <v>63.9</v>
      </c>
      <c r="K14" s="3">
        <f t="shared" si="0"/>
        <v>0.6</v>
      </c>
      <c r="L14" s="3">
        <f t="shared" si="1"/>
        <v>63.3</v>
      </c>
      <c r="M14" s="3">
        <v>5</v>
      </c>
      <c r="N14" s="3">
        <v>32</v>
      </c>
      <c r="O14" s="3">
        <f t="shared" si="2"/>
        <v>37</v>
      </c>
      <c r="P14" s="10">
        <f t="shared" si="3"/>
        <v>12.69</v>
      </c>
      <c r="Q14" s="47">
        <v>9788.02</v>
      </c>
      <c r="R14" s="10">
        <v>3.26</v>
      </c>
      <c r="S14" s="10">
        <v>4.4000000000000004</v>
      </c>
      <c r="T14" s="10">
        <f t="shared" si="4"/>
        <v>22243.9</v>
      </c>
      <c r="U14" s="10">
        <f t="shared" si="5"/>
        <v>142360.95000000001</v>
      </c>
      <c r="V14" s="10">
        <f t="shared" si="6"/>
        <v>164604.848</v>
      </c>
    </row>
    <row r="15" spans="1:26" ht="60" x14ac:dyDescent="0.25">
      <c r="A15" s="3">
        <v>6</v>
      </c>
      <c r="B15" s="7" t="s">
        <v>39</v>
      </c>
      <c r="C15" s="3" t="s">
        <v>37</v>
      </c>
      <c r="D15" s="8" t="s">
        <v>30</v>
      </c>
      <c r="E15" s="3">
        <v>5</v>
      </c>
      <c r="F15" s="3" t="s">
        <v>34</v>
      </c>
      <c r="G15" s="9">
        <v>0.26397887323943658</v>
      </c>
      <c r="H15" s="9">
        <v>0</v>
      </c>
      <c r="I15" s="9">
        <v>0.73602112676056319</v>
      </c>
      <c r="J15" s="3">
        <v>85.2</v>
      </c>
      <c r="K15" s="3">
        <f t="shared" si="0"/>
        <v>22.5</v>
      </c>
      <c r="L15" s="3">
        <f t="shared" si="1"/>
        <v>62.7</v>
      </c>
      <c r="M15" s="3">
        <v>12</v>
      </c>
      <c r="N15" s="3">
        <v>46</v>
      </c>
      <c r="O15" s="3">
        <f t="shared" si="2"/>
        <v>58</v>
      </c>
      <c r="P15" s="10">
        <f t="shared" si="3"/>
        <v>10.32</v>
      </c>
      <c r="Q15" s="47">
        <v>9788.02</v>
      </c>
      <c r="R15" s="10">
        <v>3.26</v>
      </c>
      <c r="S15" s="10">
        <v>4.4000000000000004</v>
      </c>
      <c r="T15" s="10">
        <f t="shared" si="4"/>
        <v>36943.839999999997</v>
      </c>
      <c r="U15" s="10">
        <f t="shared" si="5"/>
        <v>141618.07</v>
      </c>
      <c r="V15" s="10">
        <f t="shared" si="6"/>
        <v>178561.91000000003</v>
      </c>
    </row>
    <row r="16" spans="1:26" ht="45" x14ac:dyDescent="0.25">
      <c r="A16" s="3">
        <v>10</v>
      </c>
      <c r="B16" s="7" t="s">
        <v>40</v>
      </c>
      <c r="C16" s="7" t="s">
        <v>118</v>
      </c>
      <c r="D16" s="8" t="s">
        <v>30</v>
      </c>
      <c r="E16" s="3">
        <v>5</v>
      </c>
      <c r="F16" s="3" t="s">
        <v>34</v>
      </c>
      <c r="G16" s="46">
        <v>0.23227518959913324</v>
      </c>
      <c r="H16" s="46">
        <v>0</v>
      </c>
      <c r="I16" s="46">
        <v>0.76772481040086671</v>
      </c>
      <c r="J16" s="3">
        <v>184.6</v>
      </c>
      <c r="K16" s="3">
        <f t="shared" si="0"/>
        <v>42.9</v>
      </c>
      <c r="L16" s="3">
        <f t="shared" si="1"/>
        <v>141.69999999999999</v>
      </c>
      <c r="M16" s="3">
        <v>10</v>
      </c>
      <c r="N16" s="3">
        <v>10</v>
      </c>
      <c r="O16" s="3">
        <f t="shared" si="2"/>
        <v>20</v>
      </c>
      <c r="P16" s="10">
        <f t="shared" si="3"/>
        <v>6.36</v>
      </c>
      <c r="Q16" s="47">
        <v>10074.25</v>
      </c>
      <c r="R16" s="10">
        <v>2.68</v>
      </c>
      <c r="S16" s="10">
        <v>3.62</v>
      </c>
      <c r="T16" s="10">
        <f t="shared" si="4"/>
        <v>119142.86</v>
      </c>
      <c r="U16" s="10">
        <f t="shared" si="5"/>
        <v>119142.87</v>
      </c>
      <c r="V16" s="10">
        <f t="shared" si="6"/>
        <v>238285.728</v>
      </c>
    </row>
    <row r="17" spans="1:22" ht="60" x14ac:dyDescent="0.25">
      <c r="A17" s="3">
        <v>21</v>
      </c>
      <c r="B17" s="7" t="s">
        <v>41</v>
      </c>
      <c r="C17" s="3" t="s">
        <v>33</v>
      </c>
      <c r="D17" s="8" t="s">
        <v>30</v>
      </c>
      <c r="E17" s="3">
        <v>5</v>
      </c>
      <c r="F17" s="3" t="s">
        <v>34</v>
      </c>
      <c r="G17" s="9">
        <v>1</v>
      </c>
      <c r="H17" s="9">
        <v>0</v>
      </c>
      <c r="I17" s="9">
        <v>0</v>
      </c>
      <c r="J17" s="3">
        <v>60.4</v>
      </c>
      <c r="K17" s="3">
        <f t="shared" si="0"/>
        <v>60.4</v>
      </c>
      <c r="L17" s="3">
        <f t="shared" si="1"/>
        <v>0</v>
      </c>
      <c r="M17" s="3">
        <v>30</v>
      </c>
      <c r="N17" s="3">
        <v>79</v>
      </c>
      <c r="O17" s="3">
        <f t="shared" si="2"/>
        <v>109</v>
      </c>
      <c r="P17" s="10">
        <f t="shared" si="3"/>
        <v>12.8</v>
      </c>
      <c r="Q17" s="47">
        <v>10028.19</v>
      </c>
      <c r="R17" s="10">
        <v>3.8</v>
      </c>
      <c r="S17" s="10">
        <v>5.13</v>
      </c>
      <c r="T17" s="10">
        <f t="shared" si="4"/>
        <v>43184.22</v>
      </c>
      <c r="U17" s="10">
        <f t="shared" si="5"/>
        <v>113718.43</v>
      </c>
      <c r="V17" s="10">
        <f t="shared" si="6"/>
        <v>156902.65000000002</v>
      </c>
    </row>
    <row r="18" spans="1:22" ht="45" x14ac:dyDescent="0.25">
      <c r="A18" s="3">
        <v>22</v>
      </c>
      <c r="B18" s="7" t="s">
        <v>42</v>
      </c>
      <c r="C18" s="3" t="s">
        <v>33</v>
      </c>
      <c r="D18" s="8" t="s">
        <v>30</v>
      </c>
      <c r="E18" s="3">
        <v>5</v>
      </c>
      <c r="F18" s="3" t="s">
        <v>34</v>
      </c>
      <c r="G18" s="9">
        <v>1</v>
      </c>
      <c r="H18" s="9">
        <v>0</v>
      </c>
      <c r="I18" s="9">
        <v>0</v>
      </c>
      <c r="J18" s="3">
        <v>70.2</v>
      </c>
      <c r="K18" s="3">
        <f t="shared" si="0"/>
        <v>70.2</v>
      </c>
      <c r="L18" s="3">
        <f t="shared" si="1"/>
        <v>0</v>
      </c>
      <c r="M18" s="3">
        <v>24</v>
      </c>
      <c r="N18" s="3">
        <v>82</v>
      </c>
      <c r="O18" s="3">
        <f t="shared" si="2"/>
        <v>106</v>
      </c>
      <c r="P18" s="10">
        <f t="shared" si="3"/>
        <v>11.54</v>
      </c>
      <c r="Q18" s="47">
        <v>10028.19</v>
      </c>
      <c r="R18" s="10">
        <v>3.8</v>
      </c>
      <c r="S18" s="10">
        <v>5.13</v>
      </c>
      <c r="T18" s="10">
        <f t="shared" si="4"/>
        <v>37236.76</v>
      </c>
      <c r="U18" s="10">
        <f t="shared" si="5"/>
        <v>127225.61</v>
      </c>
      <c r="V18" s="10">
        <f t="shared" si="6"/>
        <v>164462.37</v>
      </c>
    </row>
    <row r="19" spans="1:22" ht="60" x14ac:dyDescent="0.25">
      <c r="A19" s="3">
        <v>23</v>
      </c>
      <c r="B19" s="7" t="s">
        <v>43</v>
      </c>
      <c r="C19" s="3" t="s">
        <v>29</v>
      </c>
      <c r="D19" s="8" t="s">
        <v>30</v>
      </c>
      <c r="E19" s="3">
        <v>5</v>
      </c>
      <c r="F19" s="3" t="s">
        <v>34</v>
      </c>
      <c r="G19" s="9">
        <v>0.51029179810725545</v>
      </c>
      <c r="H19" s="9">
        <v>0</v>
      </c>
      <c r="I19" s="9">
        <v>0.48970820189274444</v>
      </c>
      <c r="J19" s="3">
        <v>126.8</v>
      </c>
      <c r="K19" s="3">
        <f t="shared" si="0"/>
        <v>64.7</v>
      </c>
      <c r="L19" s="3">
        <f t="shared" si="1"/>
        <v>62.1</v>
      </c>
      <c r="M19" s="3">
        <v>10</v>
      </c>
      <c r="N19" s="3">
        <v>29</v>
      </c>
      <c r="O19" s="3">
        <f t="shared" si="2"/>
        <v>39</v>
      </c>
      <c r="P19" s="10">
        <f t="shared" si="3"/>
        <v>7.29</v>
      </c>
      <c r="Q19" s="47">
        <v>9904.4699999999993</v>
      </c>
      <c r="R19" s="10">
        <v>2.61</v>
      </c>
      <c r="S19" s="10">
        <v>3.52</v>
      </c>
      <c r="T19" s="10">
        <f t="shared" si="4"/>
        <v>48103.42</v>
      </c>
      <c r="U19" s="10">
        <f t="shared" si="5"/>
        <v>139499.93</v>
      </c>
      <c r="V19" s="10">
        <f t="shared" si="6"/>
        <v>187603.34700000001</v>
      </c>
    </row>
    <row r="20" spans="1:22" ht="45" x14ac:dyDescent="0.25">
      <c r="A20" s="3">
        <v>24</v>
      </c>
      <c r="B20" s="7" t="s">
        <v>44</v>
      </c>
      <c r="C20" s="3" t="s">
        <v>33</v>
      </c>
      <c r="D20" s="8" t="s">
        <v>30</v>
      </c>
      <c r="E20" s="3">
        <v>5</v>
      </c>
      <c r="F20" s="3" t="s">
        <v>34</v>
      </c>
      <c r="G20" s="9">
        <v>1</v>
      </c>
      <c r="H20" s="9">
        <v>0</v>
      </c>
      <c r="I20" s="9">
        <v>0</v>
      </c>
      <c r="J20" s="3">
        <v>46.8</v>
      </c>
      <c r="K20" s="3">
        <f t="shared" si="0"/>
        <v>46.8</v>
      </c>
      <c r="L20" s="3">
        <f t="shared" si="1"/>
        <v>0</v>
      </c>
      <c r="M20" s="3">
        <v>32</v>
      </c>
      <c r="N20" s="3">
        <v>82</v>
      </c>
      <c r="O20" s="3">
        <f t="shared" si="2"/>
        <v>114</v>
      </c>
      <c r="P20" s="10">
        <f t="shared" si="3"/>
        <v>15.41</v>
      </c>
      <c r="Q20" s="47">
        <v>10028.19</v>
      </c>
      <c r="R20" s="10">
        <v>3.8</v>
      </c>
      <c r="S20" s="10">
        <v>5.13</v>
      </c>
      <c r="T20" s="10">
        <f t="shared" si="4"/>
        <v>41098</v>
      </c>
      <c r="U20" s="10">
        <f t="shared" si="5"/>
        <v>105313.61</v>
      </c>
      <c r="V20" s="10">
        <f t="shared" si="6"/>
        <v>146411.61000000002</v>
      </c>
    </row>
    <row r="21" spans="1:22" ht="45" x14ac:dyDescent="0.25">
      <c r="A21" s="3">
        <v>26</v>
      </c>
      <c r="B21" s="7" t="s">
        <v>45</v>
      </c>
      <c r="C21" s="3" t="s">
        <v>37</v>
      </c>
      <c r="D21" s="8" t="s">
        <v>30</v>
      </c>
      <c r="E21" s="3">
        <v>5</v>
      </c>
      <c r="F21" s="3" t="s">
        <v>34</v>
      </c>
      <c r="G21" s="9">
        <v>7.6428571428571429E-2</v>
      </c>
      <c r="H21" s="9">
        <v>0</v>
      </c>
      <c r="I21" s="9">
        <v>0.92357142857142849</v>
      </c>
      <c r="J21" s="3">
        <v>82.6</v>
      </c>
      <c r="K21" s="3">
        <f t="shared" si="0"/>
        <v>6.3</v>
      </c>
      <c r="L21" s="3">
        <f t="shared" si="1"/>
        <v>76.3</v>
      </c>
      <c r="M21" s="3">
        <v>4</v>
      </c>
      <c r="N21" s="3">
        <v>46</v>
      </c>
      <c r="O21" s="3">
        <f t="shared" si="2"/>
        <v>50</v>
      </c>
      <c r="P21" s="10">
        <f t="shared" si="3"/>
        <v>10.73</v>
      </c>
      <c r="Q21" s="47">
        <v>9788.02</v>
      </c>
      <c r="R21" s="10">
        <v>3.26</v>
      </c>
      <c r="S21" s="10">
        <v>4.4000000000000004</v>
      </c>
      <c r="T21" s="10">
        <f t="shared" si="4"/>
        <v>14399.09</v>
      </c>
      <c r="U21" s="10">
        <f t="shared" si="5"/>
        <v>165589.5</v>
      </c>
      <c r="V21" s="10">
        <f t="shared" si="6"/>
        <v>179988.59399999998</v>
      </c>
    </row>
    <row r="22" spans="1:22" x14ac:dyDescent="0.25">
      <c r="A22" s="50" t="s">
        <v>46</v>
      </c>
      <c r="B22" s="51"/>
      <c r="C22" s="51"/>
      <c r="D22" s="51"/>
      <c r="E22" s="51"/>
      <c r="F22" s="51"/>
      <c r="G22" s="51"/>
      <c r="H22" s="51"/>
      <c r="I22" s="52"/>
      <c r="J22" s="11">
        <f>SUM(J10:J21)</f>
        <v>1055.0999999999999</v>
      </c>
      <c r="K22" s="11">
        <f>SUM(K10:K21)</f>
        <v>448.3</v>
      </c>
      <c r="L22" s="11">
        <f>SUM(L10:L21)</f>
        <v>606.79999999999995</v>
      </c>
      <c r="M22" s="11">
        <f>SUM(M10:M21)</f>
        <v>261</v>
      </c>
      <c r="N22" s="11">
        <f>SUM(N10:N21)</f>
        <v>539</v>
      </c>
      <c r="O22" s="11">
        <f>SUM(O10:O21)</f>
        <v>800</v>
      </c>
      <c r="P22" s="12">
        <f>AVERAGE(P10:P21)</f>
        <v>11.19</v>
      </c>
      <c r="Q22" s="12">
        <f>AVERAGE(Q10:Q21)</f>
        <v>9786.886666666669</v>
      </c>
      <c r="R22" s="12">
        <f>AVERAGE(R10:R21)</f>
        <v>3.3374999999999999</v>
      </c>
      <c r="S22" s="12">
        <f>AVERAGE(S10:S21)</f>
        <v>4.5041666666666673</v>
      </c>
      <c r="T22" s="12">
        <f>SUM(T10:T21)</f>
        <v>746911.08</v>
      </c>
      <c r="U22" s="12">
        <f>SUM(U10:U21)</f>
        <v>1380335.2400000002</v>
      </c>
      <c r="V22" s="12">
        <f>SUM(V10:V21)</f>
        <v>2127246.3170000003</v>
      </c>
    </row>
    <row r="23" spans="1:22" ht="6" customHeight="1" x14ac:dyDescent="0.25">
      <c r="A23" s="5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60"/>
    </row>
    <row r="24" spans="1:22" x14ac:dyDescent="0.25">
      <c r="A24" s="61" t="s">
        <v>121</v>
      </c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2"/>
    </row>
    <row r="25" spans="1:22" ht="5.25" customHeight="1" x14ac:dyDescent="0.25">
      <c r="A25" s="63"/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64"/>
    </row>
    <row r="26" spans="1:22" x14ac:dyDescent="0.25">
      <c r="A26" s="63" t="s">
        <v>124</v>
      </c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64"/>
    </row>
    <row r="27" spans="1:22" x14ac:dyDescent="0.25">
      <c r="A27" s="65" t="s">
        <v>125</v>
      </c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7"/>
    </row>
  </sheetData>
  <mergeCells count="11">
    <mergeCell ref="A22:I22"/>
    <mergeCell ref="A24:V24"/>
    <mergeCell ref="A25:V25"/>
    <mergeCell ref="A26:V26"/>
    <mergeCell ref="A27:V27"/>
    <mergeCell ref="A7:V7"/>
    <mergeCell ref="A1:V1"/>
    <mergeCell ref="A2:V2"/>
    <mergeCell ref="A3:V3"/>
    <mergeCell ref="A4:V4"/>
    <mergeCell ref="A5:V5"/>
  </mergeCells>
  <pageMargins left="0.511811024" right="0.511811024" top="0.78740157499999996" bottom="0.78740157499999996" header="0.31496062000000002" footer="0.31496062000000002"/>
  <pageSetup paperSize="9" scale="4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FFC02-DD1A-486E-BCA0-99898A411852}">
  <sheetPr codeName="Plan12">
    <tabColor rgb="FFFFC000"/>
    <pageSetUpPr fitToPage="1"/>
  </sheetPr>
  <dimension ref="B1:Q30"/>
  <sheetViews>
    <sheetView showGridLines="0" zoomScale="55" zoomScaleNormal="55" zoomScaleSheetLayoutView="70" workbookViewId="0">
      <selection activeCell="A39" sqref="A39:V39"/>
    </sheetView>
  </sheetViews>
  <sheetFormatPr defaultColWidth="8.85546875" defaultRowHeight="15" x14ac:dyDescent="0.25"/>
  <cols>
    <col min="1" max="1" width="3.42578125" style="13" customWidth="1"/>
    <col min="2" max="2" width="18.28515625" style="13" bestFit="1" customWidth="1"/>
    <col min="3" max="3" width="50.42578125" style="13" bestFit="1" customWidth="1"/>
    <col min="4" max="4" width="12.7109375" style="13" bestFit="1" customWidth="1"/>
    <col min="5" max="5" width="3.28515625" style="13" customWidth="1"/>
    <col min="6" max="6" width="16.28515625" style="13" customWidth="1"/>
    <col min="7" max="7" width="20.7109375" style="2" customWidth="1"/>
    <col min="8" max="8" width="17.140625" style="13" customWidth="1"/>
    <col min="9" max="9" width="13.140625" style="13" customWidth="1"/>
    <col min="10" max="10" width="15" style="13" customWidth="1"/>
    <col min="11" max="11" width="15.140625" style="13" customWidth="1"/>
    <col min="12" max="12" width="15" style="13" customWidth="1"/>
    <col min="13" max="13" width="14.28515625" style="13" customWidth="1"/>
    <col min="14" max="14" width="13.28515625" style="13" customWidth="1"/>
    <col min="15" max="15" width="12.7109375" style="13" customWidth="1"/>
    <col min="16" max="16" width="13.42578125" style="13" customWidth="1"/>
    <col min="17" max="17" width="13.140625" style="13" customWidth="1"/>
    <col min="18" max="16384" width="8.85546875" style="13"/>
  </cols>
  <sheetData>
    <row r="1" spans="2:17" ht="15" customHeight="1" x14ac:dyDescent="0.25">
      <c r="B1" s="54" t="s">
        <v>47</v>
      </c>
      <c r="C1" s="54"/>
      <c r="D1" s="54"/>
      <c r="F1" s="55" t="s">
        <v>48</v>
      </c>
      <c r="G1" s="55"/>
      <c r="H1" s="55"/>
      <c r="I1" s="55"/>
      <c r="J1" s="55"/>
      <c r="K1" s="55"/>
      <c r="L1" s="55"/>
      <c r="M1" s="55"/>
      <c r="N1"/>
    </row>
    <row r="2" spans="2:17" s="2" customFormat="1" ht="30" x14ac:dyDescent="0.25">
      <c r="B2" s="14" t="s">
        <v>49</v>
      </c>
      <c r="C2" s="14" t="s">
        <v>50</v>
      </c>
      <c r="D2" s="14" t="s">
        <v>51</v>
      </c>
      <c r="F2" s="15" t="s">
        <v>52</v>
      </c>
      <c r="G2" s="15" t="s">
        <v>53</v>
      </c>
      <c r="H2" s="15" t="s">
        <v>54</v>
      </c>
      <c r="I2" s="15" t="s">
        <v>55</v>
      </c>
      <c r="J2" s="15" t="s">
        <v>56</v>
      </c>
      <c r="K2" s="15" t="s">
        <v>57</v>
      </c>
      <c r="L2" s="15" t="s">
        <v>58</v>
      </c>
      <c r="M2" s="15" t="s">
        <v>59</v>
      </c>
      <c r="O2" s="13"/>
      <c r="P2" s="13"/>
    </row>
    <row r="3" spans="2:17" ht="45" x14ac:dyDescent="0.25">
      <c r="B3" s="53" t="s">
        <v>60</v>
      </c>
      <c r="C3" s="16" t="s">
        <v>61</v>
      </c>
      <c r="D3" s="17">
        <v>1993.41</v>
      </c>
      <c r="E3" s="18"/>
      <c r="F3" s="19" t="s">
        <v>62</v>
      </c>
      <c r="G3" s="20" t="s">
        <v>63</v>
      </c>
      <c r="H3" s="20">
        <v>37824</v>
      </c>
      <c r="I3" s="20" t="s">
        <v>64</v>
      </c>
      <c r="J3" s="20">
        <v>348.83</v>
      </c>
      <c r="K3" s="21">
        <v>4</v>
      </c>
      <c r="L3" s="21">
        <v>10</v>
      </c>
      <c r="M3" s="22">
        <v>0.2</v>
      </c>
    </row>
    <row r="4" spans="2:17" ht="60" x14ac:dyDescent="0.25">
      <c r="B4" s="53"/>
      <c r="C4" s="16" t="s">
        <v>65</v>
      </c>
      <c r="D4" s="17">
        <v>1993.41</v>
      </c>
      <c r="E4" s="23"/>
      <c r="F4" s="19" t="s">
        <v>29</v>
      </c>
      <c r="G4" s="20" t="s">
        <v>66</v>
      </c>
      <c r="H4" s="20">
        <v>81775</v>
      </c>
      <c r="I4" s="20" t="s">
        <v>67</v>
      </c>
      <c r="J4" s="20">
        <v>417.64</v>
      </c>
      <c r="K4" s="21">
        <v>4</v>
      </c>
      <c r="L4" s="21">
        <v>10</v>
      </c>
      <c r="M4" s="22">
        <v>0.2</v>
      </c>
    </row>
    <row r="5" spans="2:17" ht="75" x14ac:dyDescent="0.25">
      <c r="B5" s="53"/>
      <c r="C5" s="16" t="s">
        <v>68</v>
      </c>
      <c r="D5" s="17">
        <v>1518</v>
      </c>
      <c r="E5" s="23"/>
      <c r="F5" s="19" t="s">
        <v>37</v>
      </c>
      <c r="G5" s="20" t="s">
        <v>69</v>
      </c>
      <c r="H5" s="20">
        <v>84641</v>
      </c>
      <c r="I5" s="20" t="s">
        <v>70</v>
      </c>
      <c r="J5" s="20">
        <v>821.95</v>
      </c>
      <c r="K5" s="21">
        <v>6</v>
      </c>
      <c r="L5" s="21">
        <v>12</v>
      </c>
      <c r="M5" s="22">
        <v>0.2</v>
      </c>
    </row>
    <row r="6" spans="2:17" ht="60" x14ac:dyDescent="0.25">
      <c r="B6" s="53"/>
      <c r="C6" s="24" t="s">
        <v>71</v>
      </c>
      <c r="D6" s="17">
        <v>547.25</v>
      </c>
      <c r="F6" s="19" t="s">
        <v>33</v>
      </c>
      <c r="G6" s="20" t="s">
        <v>72</v>
      </c>
      <c r="H6" s="20">
        <v>117986</v>
      </c>
      <c r="I6" s="20" t="s">
        <v>73</v>
      </c>
      <c r="J6" s="20">
        <v>1717.93</v>
      </c>
      <c r="K6" s="21">
        <v>6</v>
      </c>
      <c r="L6" s="21">
        <v>12</v>
      </c>
      <c r="M6" s="22">
        <v>0.2</v>
      </c>
    </row>
    <row r="7" spans="2:17" x14ac:dyDescent="0.25">
      <c r="B7" s="53"/>
      <c r="C7" s="16" t="s">
        <v>74</v>
      </c>
      <c r="D7" s="17">
        <v>56.71</v>
      </c>
    </row>
    <row r="8" spans="2:17" ht="15" customHeight="1" x14ac:dyDescent="0.25">
      <c r="B8" s="53"/>
      <c r="C8" s="16" t="s">
        <v>75</v>
      </c>
      <c r="D8" s="17">
        <v>13.91</v>
      </c>
      <c r="F8" s="55" t="s">
        <v>76</v>
      </c>
      <c r="G8" s="55"/>
      <c r="H8" s="55"/>
      <c r="I8" s="55"/>
      <c r="J8" s="55"/>
      <c r="K8" s="55"/>
      <c r="L8" s="55"/>
      <c r="M8" s="55"/>
      <c r="N8" s="55"/>
      <c r="O8" s="55"/>
    </row>
    <row r="9" spans="2:17" ht="45" x14ac:dyDescent="0.25">
      <c r="B9" s="25" t="s">
        <v>77</v>
      </c>
      <c r="C9" s="16" t="s">
        <v>78</v>
      </c>
      <c r="D9" s="26">
        <v>0.59219999999999995</v>
      </c>
      <c r="F9" s="15" t="s">
        <v>8</v>
      </c>
      <c r="G9" s="15" t="s">
        <v>79</v>
      </c>
      <c r="H9" s="15" t="s">
        <v>80</v>
      </c>
      <c r="I9" s="15" t="s">
        <v>81</v>
      </c>
      <c r="J9" s="15" t="s">
        <v>82</v>
      </c>
      <c r="K9" s="15" t="s">
        <v>83</v>
      </c>
      <c r="L9" s="15" t="s">
        <v>84</v>
      </c>
      <c r="M9" s="15" t="s">
        <v>85</v>
      </c>
      <c r="N9" s="15" t="s">
        <v>86</v>
      </c>
      <c r="O9" s="15" t="s">
        <v>87</v>
      </c>
      <c r="P9"/>
      <c r="Q9"/>
    </row>
    <row r="10" spans="2:17" x14ac:dyDescent="0.25">
      <c r="B10" s="53" t="s">
        <v>88</v>
      </c>
      <c r="C10" s="16" t="s">
        <v>89</v>
      </c>
      <c r="D10" s="17">
        <v>6.64</v>
      </c>
      <c r="F10" s="27" t="str">
        <f>IF($F$3="","",$F$3)</f>
        <v>08 passageiros</v>
      </c>
      <c r="G10" s="28">
        <v>0.01</v>
      </c>
      <c r="H10" s="28">
        <v>0.02</v>
      </c>
      <c r="I10" s="29">
        <v>226.44</v>
      </c>
      <c r="J10" s="29">
        <v>0</v>
      </c>
      <c r="K10" s="29">
        <v>570</v>
      </c>
      <c r="L10" s="29">
        <v>1020</v>
      </c>
      <c r="M10" s="29">
        <v>0</v>
      </c>
      <c r="N10" s="29">
        <v>424.56</v>
      </c>
      <c r="O10" s="30">
        <v>0.53</v>
      </c>
      <c r="P10" s="31"/>
      <c r="Q10"/>
    </row>
    <row r="11" spans="2:17" x14ac:dyDescent="0.25">
      <c r="B11" s="53"/>
      <c r="C11" s="16" t="s">
        <v>90</v>
      </c>
      <c r="D11" s="17">
        <v>6.39</v>
      </c>
      <c r="F11" s="27" t="str">
        <f>IF($F$4="","",$F$4)</f>
        <v>15 passageiros</v>
      </c>
      <c r="G11" s="32">
        <v>0.01</v>
      </c>
      <c r="H11" s="32">
        <v>0.01</v>
      </c>
      <c r="I11" s="33">
        <v>226.44</v>
      </c>
      <c r="J11" s="33">
        <v>0</v>
      </c>
      <c r="K11" s="33">
        <v>570</v>
      </c>
      <c r="L11" s="33">
        <v>1020</v>
      </c>
      <c r="M11" s="33">
        <v>0</v>
      </c>
      <c r="N11" s="33">
        <v>424.56</v>
      </c>
      <c r="O11" s="30">
        <v>0.53</v>
      </c>
      <c r="P11" s="31"/>
      <c r="Q11"/>
    </row>
    <row r="12" spans="2:17" x14ac:dyDescent="0.25">
      <c r="B12" s="53" t="s">
        <v>91</v>
      </c>
      <c r="C12" s="34" t="s">
        <v>92</v>
      </c>
      <c r="D12" s="35">
        <v>20.3</v>
      </c>
      <c r="F12" s="27" t="str">
        <f>IF($F$5="","",$F$5)</f>
        <v>23 passageiros</v>
      </c>
      <c r="G12" s="32">
        <v>0.01</v>
      </c>
      <c r="H12" s="32">
        <v>0.01</v>
      </c>
      <c r="I12" s="33">
        <v>226.44</v>
      </c>
      <c r="J12" s="33">
        <v>0</v>
      </c>
      <c r="K12" s="33">
        <v>570</v>
      </c>
      <c r="L12" s="33">
        <v>1020</v>
      </c>
      <c r="M12" s="33">
        <v>0</v>
      </c>
      <c r="N12" s="33">
        <v>424.56</v>
      </c>
      <c r="O12" s="30">
        <v>0.53</v>
      </c>
      <c r="P12"/>
      <c r="Q12"/>
    </row>
    <row r="13" spans="2:17" x14ac:dyDescent="0.25">
      <c r="B13" s="53"/>
      <c r="C13" s="34" t="s">
        <v>93</v>
      </c>
      <c r="D13" s="36">
        <v>203</v>
      </c>
      <c r="F13" s="27" t="str">
        <f>IF($F$6="","",$F$6)</f>
        <v>41 passageiros</v>
      </c>
      <c r="G13" s="32">
        <v>0.01</v>
      </c>
      <c r="H13" s="32">
        <v>0.01</v>
      </c>
      <c r="I13" s="33">
        <v>226.44</v>
      </c>
      <c r="J13" s="33">
        <v>0</v>
      </c>
      <c r="K13" s="33">
        <v>570</v>
      </c>
      <c r="L13" s="33">
        <v>1020</v>
      </c>
      <c r="M13" s="33">
        <v>0</v>
      </c>
      <c r="N13" s="33">
        <v>424.56</v>
      </c>
      <c r="O13" s="30">
        <v>0.53</v>
      </c>
      <c r="P13" s="37"/>
      <c r="Q13"/>
    </row>
    <row r="14" spans="2:17" x14ac:dyDescent="0.25">
      <c r="B14" s="53"/>
      <c r="C14" s="34" t="s">
        <v>94</v>
      </c>
      <c r="D14" s="36">
        <v>122</v>
      </c>
    </row>
    <row r="15" spans="2:17" ht="14.45" customHeight="1" x14ac:dyDescent="0.25">
      <c r="B15" s="56" t="s">
        <v>95</v>
      </c>
      <c r="C15" s="34" t="s">
        <v>96</v>
      </c>
      <c r="D15" s="26">
        <v>6.4999999999999997E-3</v>
      </c>
      <c r="F15" s="55" t="s">
        <v>97</v>
      </c>
      <c r="G15" s="55"/>
      <c r="H15" s="55"/>
      <c r="I15" s="55"/>
      <c r="J15" s="55"/>
      <c r="K15" s="55"/>
      <c r="L15" s="55"/>
      <c r="M15" s="55"/>
      <c r="N15" s="55"/>
      <c r="O15" s="55"/>
      <c r="P15" s="55"/>
    </row>
    <row r="16" spans="2:17" ht="30" x14ac:dyDescent="0.25">
      <c r="B16" s="56"/>
      <c r="C16" s="34" t="s">
        <v>98</v>
      </c>
      <c r="D16" s="26">
        <v>0.03</v>
      </c>
      <c r="F16" s="15" t="s">
        <v>52</v>
      </c>
      <c r="G16" s="15" t="s">
        <v>99</v>
      </c>
      <c r="H16" s="15" t="s">
        <v>100</v>
      </c>
      <c r="I16" s="15" t="s">
        <v>101</v>
      </c>
      <c r="J16" s="15" t="s">
        <v>102</v>
      </c>
      <c r="K16" s="15" t="s">
        <v>103</v>
      </c>
      <c r="L16" s="15" t="s">
        <v>104</v>
      </c>
      <c r="M16" s="15" t="s">
        <v>105</v>
      </c>
      <c r="N16" s="15" t="s">
        <v>106</v>
      </c>
      <c r="O16" s="15" t="str">
        <f>M9</f>
        <v>Seguro</v>
      </c>
      <c r="P16" s="15" t="s">
        <v>107</v>
      </c>
    </row>
    <row r="17" spans="2:17" x14ac:dyDescent="0.25">
      <c r="B17" s="56"/>
      <c r="C17" s="34" t="s">
        <v>108</v>
      </c>
      <c r="D17" s="26">
        <v>0.03</v>
      </c>
      <c r="F17" s="27" t="str">
        <f>IF($F$3="","",$F$3)</f>
        <v>08 passageiros</v>
      </c>
      <c r="G17" s="20">
        <f>ROUND(((H3-K3*J3)*((1+G10)^12-1))/12,2)</f>
        <v>385.01</v>
      </c>
      <c r="H17" s="20">
        <f>ROUND(((H3-K3*J3)*(1-M3))/(L3*12),2)</f>
        <v>242.86</v>
      </c>
      <c r="I17" s="38">
        <f>ROUND(I10/12,2)</f>
        <v>18.87</v>
      </c>
      <c r="J17" s="38">
        <f>ROUND(J10/12,2)</f>
        <v>0</v>
      </c>
      <c r="K17" s="38">
        <f>ROUND((H3*H10)/12,2)</f>
        <v>63.04</v>
      </c>
      <c r="L17" s="38">
        <f>ROUND(N10/12+O10*$D$12,2)</f>
        <v>46.14</v>
      </c>
      <c r="M17" s="38">
        <f>ROUND(K10/12,2)</f>
        <v>47.5</v>
      </c>
      <c r="N17" s="38">
        <f>ROUND(L10/12,2)</f>
        <v>85</v>
      </c>
      <c r="O17" s="38">
        <f>ROUND(M10/12,2)</f>
        <v>0</v>
      </c>
      <c r="P17" s="39">
        <f>SUM(G17:O17)</f>
        <v>888.42</v>
      </c>
      <c r="Q17" s="40"/>
    </row>
    <row r="18" spans="2:17" x14ac:dyDescent="0.25">
      <c r="B18" s="56" t="s">
        <v>109</v>
      </c>
      <c r="C18" s="24" t="s">
        <v>110</v>
      </c>
      <c r="D18" s="26">
        <v>0.05</v>
      </c>
      <c r="F18" s="27" t="str">
        <f>IF($F$4="","",$F$4)</f>
        <v>15 passageiros</v>
      </c>
      <c r="G18" s="20">
        <f>ROUND(((H4-K4*J4)*((1+G11)^12-1))/12,2)</f>
        <v>846.6</v>
      </c>
      <c r="H18" s="20">
        <f>ROUND(((H4-K4*J4)*(1-M4))/(L4*12),2)</f>
        <v>534.03</v>
      </c>
      <c r="I18" s="38">
        <f t="shared" ref="I18:J20" si="0">ROUND(I11/12,2)</f>
        <v>18.87</v>
      </c>
      <c r="J18" s="38">
        <f t="shared" si="0"/>
        <v>0</v>
      </c>
      <c r="K18" s="38">
        <f t="shared" ref="K18:K20" si="1">ROUND((H4*H11)/12,2)</f>
        <v>68.150000000000006</v>
      </c>
      <c r="L18" s="38">
        <f t="shared" ref="L18:L20" si="2">ROUND(N11/12+O11*$D$12,2)</f>
        <v>46.14</v>
      </c>
      <c r="M18" s="38">
        <f t="shared" ref="M18:O20" si="3">ROUND(K11/12,2)</f>
        <v>47.5</v>
      </c>
      <c r="N18" s="38">
        <f t="shared" si="3"/>
        <v>85</v>
      </c>
      <c r="O18" s="38">
        <f t="shared" si="3"/>
        <v>0</v>
      </c>
      <c r="P18" s="39">
        <f>SUM(G18:O18)</f>
        <v>1646.2900000000002</v>
      </c>
    </row>
    <row r="19" spans="2:17" x14ac:dyDescent="0.25">
      <c r="B19" s="56"/>
      <c r="C19" s="34" t="s">
        <v>111</v>
      </c>
      <c r="D19" s="41">
        <v>0</v>
      </c>
      <c r="F19" s="27" t="str">
        <f>IF($F$5="","",$F$5)</f>
        <v>23 passageiros</v>
      </c>
      <c r="G19" s="20">
        <f>ROUND(((H5-K5*J5)*((1+G12)^12-1))/12,2)</f>
        <v>842.43</v>
      </c>
      <c r="H19" s="20">
        <f>ROUND(((H5-K5*J5)*(1-M5))/(L5*12),2)</f>
        <v>442.83</v>
      </c>
      <c r="I19" s="38">
        <f t="shared" si="0"/>
        <v>18.87</v>
      </c>
      <c r="J19" s="38">
        <f t="shared" si="0"/>
        <v>0</v>
      </c>
      <c r="K19" s="38">
        <f t="shared" si="1"/>
        <v>70.53</v>
      </c>
      <c r="L19" s="38">
        <f t="shared" si="2"/>
        <v>46.14</v>
      </c>
      <c r="M19" s="38">
        <f t="shared" si="3"/>
        <v>47.5</v>
      </c>
      <c r="N19" s="38">
        <f t="shared" si="3"/>
        <v>85</v>
      </c>
      <c r="O19" s="38">
        <f t="shared" si="3"/>
        <v>0</v>
      </c>
      <c r="P19" s="39">
        <f>SUM(G19:O19)</f>
        <v>1553.3</v>
      </c>
    </row>
    <row r="20" spans="2:17" ht="15" customHeight="1" x14ac:dyDescent="0.25">
      <c r="F20" s="27" t="str">
        <f>IF($F$6="","",$F$6)</f>
        <v>41 passageiros</v>
      </c>
      <c r="G20" s="20">
        <f>ROUND(((H6-K6*J6)*((1+G13)^12-1))/12,2)</f>
        <v>1138.03</v>
      </c>
      <c r="H20" s="20">
        <f>ROUND(((H6-K6*J6)*(1-M6))/(L6*12),2)</f>
        <v>598.21</v>
      </c>
      <c r="I20" s="38">
        <f t="shared" si="0"/>
        <v>18.87</v>
      </c>
      <c r="J20" s="38">
        <f t="shared" si="0"/>
        <v>0</v>
      </c>
      <c r="K20" s="38">
        <f t="shared" si="1"/>
        <v>98.32</v>
      </c>
      <c r="L20" s="38">
        <f t="shared" si="2"/>
        <v>46.14</v>
      </c>
      <c r="M20" s="38">
        <f t="shared" si="3"/>
        <v>47.5</v>
      </c>
      <c r="N20" s="38">
        <f t="shared" si="3"/>
        <v>85</v>
      </c>
      <c r="O20" s="38">
        <f t="shared" si="3"/>
        <v>0</v>
      </c>
      <c r="P20" s="39">
        <f>SUM(G20:O20)</f>
        <v>2032.07</v>
      </c>
    </row>
    <row r="21" spans="2:17" ht="15" customHeight="1" x14ac:dyDescent="0.25">
      <c r="B21" s="57" t="s">
        <v>112</v>
      </c>
      <c r="C21" s="57"/>
      <c r="D21" s="57"/>
      <c r="G21" s="42"/>
      <c r="H21" s="42"/>
      <c r="I21" s="42"/>
      <c r="J21" s="42"/>
      <c r="K21" s="42"/>
      <c r="L21" s="42"/>
      <c r="M21" s="42"/>
      <c r="N21" s="42"/>
      <c r="O21" s="42"/>
    </row>
    <row r="22" spans="2:17" ht="15" customHeight="1" x14ac:dyDescent="0.25">
      <c r="B22" s="57"/>
      <c r="C22" s="57"/>
      <c r="D22" s="57"/>
      <c r="F22" s="55" t="s">
        <v>113</v>
      </c>
      <c r="G22" s="55"/>
      <c r="H22" s="55"/>
      <c r="I22" s="55"/>
      <c r="J22" s="55"/>
      <c r="L22" s="40"/>
      <c r="M22" s="40"/>
    </row>
    <row r="23" spans="2:17" x14ac:dyDescent="0.25">
      <c r="B23" s="57"/>
      <c r="C23" s="57"/>
      <c r="D23" s="57"/>
      <c r="F23" s="15" t="s">
        <v>8</v>
      </c>
      <c r="G23" s="15" t="s">
        <v>88</v>
      </c>
      <c r="H23" s="15" t="s">
        <v>114</v>
      </c>
      <c r="I23" s="15" t="s">
        <v>115</v>
      </c>
      <c r="J23" s="15" t="s">
        <v>116</v>
      </c>
      <c r="L23" s="40"/>
    </row>
    <row r="24" spans="2:17" x14ac:dyDescent="0.25">
      <c r="B24" s="57"/>
      <c r="C24" s="57"/>
      <c r="D24" s="57"/>
      <c r="F24" s="27" t="str">
        <f>IF($F$3="","",$F$3)</f>
        <v>08 passageiros</v>
      </c>
      <c r="G24" s="43">
        <v>0.235095</v>
      </c>
      <c r="H24" s="43">
        <v>0.04</v>
      </c>
      <c r="I24" s="43">
        <v>8.8888888888888907E-5</v>
      </c>
      <c r="J24" s="43">
        <v>3.3333333333333299E-6</v>
      </c>
      <c r="K24" s="40"/>
    </row>
    <row r="25" spans="2:17" x14ac:dyDescent="0.25">
      <c r="B25" s="44"/>
      <c r="C25" s="44"/>
      <c r="D25" s="44"/>
      <c r="F25" s="27" t="str">
        <f>IF($F$4="","",$F$4)</f>
        <v>15 passageiros</v>
      </c>
      <c r="G25" s="45">
        <v>0.25</v>
      </c>
      <c r="H25" s="45">
        <v>0.04</v>
      </c>
      <c r="I25" s="45">
        <v>8.8888888888888907E-5</v>
      </c>
      <c r="J25" s="45">
        <v>3.3333333333333299E-6</v>
      </c>
    </row>
    <row r="26" spans="2:17" x14ac:dyDescent="0.25">
      <c r="F26" s="27" t="str">
        <f>IF($F$5="","",$F$5)</f>
        <v>23 passageiros</v>
      </c>
      <c r="G26" s="45">
        <v>0.32</v>
      </c>
      <c r="H26" s="45">
        <v>0.05</v>
      </c>
      <c r="I26" s="45">
        <v>8.8888888888888907E-5</v>
      </c>
      <c r="J26" s="45">
        <v>3.3333333333333299E-6</v>
      </c>
    </row>
    <row r="27" spans="2:17" x14ac:dyDescent="0.25">
      <c r="F27" s="27" t="str">
        <f>IF($F$6="","",$F$6)</f>
        <v>41 passageiros</v>
      </c>
      <c r="G27" s="45">
        <v>0.35</v>
      </c>
      <c r="H27" s="45">
        <v>0.06</v>
      </c>
      <c r="I27" s="45">
        <v>8.8888888888888907E-5</v>
      </c>
      <c r="J27" s="45">
        <v>3.3333333333333299E-6</v>
      </c>
    </row>
    <row r="28" spans="2:17" x14ac:dyDescent="0.25">
      <c r="G28" s="13"/>
    </row>
    <row r="29" spans="2:17" x14ac:dyDescent="0.25">
      <c r="G29" s="13"/>
    </row>
    <row r="30" spans="2:17" x14ac:dyDescent="0.25">
      <c r="G30" s="13"/>
    </row>
  </sheetData>
  <protectedRanges>
    <protectedRange sqref="H24:J24 H10:J10" name="Dados de Entrada_4_1"/>
  </protectedRanges>
  <mergeCells count="11">
    <mergeCell ref="B15:B17"/>
    <mergeCell ref="F15:P15"/>
    <mergeCell ref="B18:B19"/>
    <mergeCell ref="B21:D24"/>
    <mergeCell ref="F22:J22"/>
    <mergeCell ref="B12:B14"/>
    <mergeCell ref="B1:D1"/>
    <mergeCell ref="F1:M1"/>
    <mergeCell ref="B3:B8"/>
    <mergeCell ref="F8:O8"/>
    <mergeCell ref="B10:B11"/>
  </mergeCells>
  <pageMargins left="0.51181102362204722" right="0.51181102362204722" top="0.78740157480314965" bottom="0.78740157480314965" header="0.31496062992125984" footer="0.31496062992125984"/>
  <pageSetup paperSize="9" scale="53" fitToHeight="0" orientation="landscape" r:id="rId1"/>
  <colBreaks count="1" manualBreakCount="1">
    <brk id="16" max="2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CÁLCULO</vt:lpstr>
      <vt:lpstr>INSUMOS ATUAL</vt:lpstr>
      <vt:lpstr>CÁLCULO!Area_de_impressao</vt:lpstr>
      <vt:lpstr>'INSUMOS ATUAL'!Area_de_impressao</vt:lpstr>
    </vt:vector>
  </TitlesOfParts>
  <Company>SEDU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Leonardo Altoé Bruschi</dc:creator>
  <cp:lastModifiedBy>Julio</cp:lastModifiedBy>
  <cp:lastPrinted>2026-01-29T12:45:28Z</cp:lastPrinted>
  <dcterms:created xsi:type="dcterms:W3CDTF">2025-12-15T16:01:51Z</dcterms:created>
  <dcterms:modified xsi:type="dcterms:W3CDTF">2026-01-29T12:45:30Z</dcterms:modified>
</cp:coreProperties>
</file>