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GENHARIA\Desktop\CESAR\MEDIÇÕES\MS CONSTRUTORA - MURO DE CONTENÇÃO\"/>
    </mc:Choice>
  </mc:AlternateContent>
  <bookViews>
    <workbookView xWindow="0" yWindow="0" windowWidth="28800" windowHeight="12330" activeTab="1"/>
  </bookViews>
  <sheets>
    <sheet name="MEDIÇÃO 2" sheetId="1" r:id="rId1"/>
    <sheet name="MEMO CALCULO 02" sheetId="2" r:id="rId2"/>
  </sheets>
  <definedNames>
    <definedName name="_xlnm.Print_Area" localSheetId="0">'MEDIÇÃO 2'!$A$1:$P$79</definedName>
    <definedName name="_xlnm.Print_Area" localSheetId="1">'MEMO CALCULO 02'!$A$1:$F$39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5" i="1" l="1"/>
  <c r="L16" i="1" l="1"/>
  <c r="L15" i="1"/>
  <c r="I69" i="1"/>
  <c r="I16" i="1"/>
  <c r="I15" i="1"/>
  <c r="L19" i="1" l="1"/>
  <c r="F65" i="1"/>
  <c r="G65" i="1"/>
  <c r="G16" i="1"/>
  <c r="G15" i="1"/>
  <c r="R60" i="1"/>
  <c r="F58" i="1"/>
  <c r="F57" i="1"/>
  <c r="G57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6" i="1"/>
  <c r="G66" i="1"/>
  <c r="F67" i="1"/>
  <c r="G67" i="1"/>
  <c r="F68" i="1"/>
  <c r="G68" i="1"/>
  <c r="F56" i="1"/>
  <c r="G56" i="1"/>
  <c r="F48" i="1"/>
  <c r="R44" i="1"/>
  <c r="E94" i="1"/>
  <c r="F54" i="1"/>
  <c r="F49" i="1"/>
  <c r="G49" i="1"/>
  <c r="F50" i="1"/>
  <c r="G50" i="1"/>
  <c r="F51" i="1"/>
  <c r="G51" i="1"/>
  <c r="F52" i="1"/>
  <c r="G52" i="1"/>
  <c r="F53" i="1"/>
  <c r="G53" i="1"/>
  <c r="G54" i="1"/>
  <c r="G48" i="1"/>
  <c r="F44" i="1"/>
  <c r="F45" i="1"/>
  <c r="G45" i="1"/>
  <c r="F46" i="1"/>
  <c r="G46" i="1"/>
  <c r="G44" i="1"/>
  <c r="F34" i="1"/>
  <c r="S33" i="1"/>
  <c r="F33" i="1"/>
  <c r="G32" i="1"/>
  <c r="G33" i="1"/>
  <c r="L56" i="1"/>
  <c r="L57" i="1"/>
  <c r="L58" i="1"/>
  <c r="L59" i="1"/>
  <c r="L60" i="1"/>
  <c r="L61" i="1"/>
  <c r="L62" i="1"/>
  <c r="L63" i="1"/>
  <c r="L64" i="1"/>
  <c r="L66" i="1"/>
  <c r="L67" i="1"/>
  <c r="L68" i="1"/>
  <c r="O68" i="1" s="1"/>
  <c r="L48" i="1"/>
  <c r="L49" i="1"/>
  <c r="O49" i="1" s="1"/>
  <c r="L50" i="1"/>
  <c r="L51" i="1"/>
  <c r="L52" i="1"/>
  <c r="L53" i="1"/>
  <c r="L54" i="1"/>
  <c r="L44" i="1"/>
  <c r="L45" i="1"/>
  <c r="L46" i="1"/>
  <c r="O46" i="1" s="1"/>
  <c r="L33" i="1"/>
  <c r="L32" i="1"/>
  <c r="G34" i="1"/>
  <c r="L34" i="1"/>
  <c r="F31" i="1"/>
  <c r="G31" i="1"/>
  <c r="L31" i="1"/>
  <c r="F35" i="1"/>
  <c r="G35" i="1"/>
  <c r="L35" i="1"/>
  <c r="F36" i="1"/>
  <c r="G36" i="1"/>
  <c r="L36" i="1"/>
  <c r="F37" i="1"/>
  <c r="G37" i="1"/>
  <c r="L37" i="1"/>
  <c r="F38" i="1"/>
  <c r="G38" i="1"/>
  <c r="L38" i="1"/>
  <c r="F39" i="1"/>
  <c r="G39" i="1"/>
  <c r="L39" i="1"/>
  <c r="F40" i="1"/>
  <c r="G40" i="1"/>
  <c r="L40" i="1"/>
  <c r="F41" i="1"/>
  <c r="G41" i="1"/>
  <c r="L41" i="1"/>
  <c r="F42" i="1"/>
  <c r="G42" i="1"/>
  <c r="L42" i="1"/>
  <c r="F32" i="1"/>
  <c r="F20" i="1"/>
  <c r="S19" i="1"/>
  <c r="G20" i="1"/>
  <c r="F21" i="1"/>
  <c r="G21" i="1"/>
  <c r="G22" i="1"/>
  <c r="F23" i="1"/>
  <c r="G23" i="1"/>
  <c r="F24" i="1"/>
  <c r="G24" i="1"/>
  <c r="G25" i="1"/>
  <c r="G26" i="1"/>
  <c r="F27" i="1"/>
  <c r="G27" i="1"/>
  <c r="G28" i="1"/>
  <c r="G29" i="1"/>
  <c r="G19" i="1"/>
  <c r="L20" i="1"/>
  <c r="L22" i="1"/>
  <c r="L25" i="1"/>
  <c r="L26" i="1"/>
  <c r="L28" i="1"/>
  <c r="L29" i="1"/>
  <c r="L21" i="1"/>
  <c r="L23" i="1"/>
  <c r="L24" i="1"/>
  <c r="L27" i="1"/>
  <c r="T11" i="1"/>
  <c r="G12" i="1"/>
  <c r="L12" i="1"/>
  <c r="G11" i="1"/>
  <c r="L11" i="1"/>
  <c r="G10" i="1"/>
  <c r="L10" i="1"/>
  <c r="G13" i="1"/>
  <c r="G14" i="1"/>
  <c r="G17" i="1"/>
  <c r="L13" i="1"/>
  <c r="L14" i="1"/>
  <c r="L17" i="1"/>
  <c r="N67" i="1"/>
  <c r="M67" i="1"/>
  <c r="J67" i="1"/>
  <c r="N66" i="1"/>
  <c r="M66" i="1"/>
  <c r="J66" i="1"/>
  <c r="N65" i="1"/>
  <c r="M65" i="1"/>
  <c r="J65" i="1"/>
  <c r="N64" i="1"/>
  <c r="M64" i="1"/>
  <c r="J64" i="1"/>
  <c r="N41" i="1"/>
  <c r="M41" i="1"/>
  <c r="J41" i="1"/>
  <c r="P41" i="1" s="1"/>
  <c r="I41" i="1"/>
  <c r="O41" i="1" s="1"/>
  <c r="N40" i="1"/>
  <c r="M40" i="1"/>
  <c r="J40" i="1"/>
  <c r="N39" i="1"/>
  <c r="M39" i="1"/>
  <c r="J39" i="1"/>
  <c r="P39" i="1" s="1"/>
  <c r="N38" i="1"/>
  <c r="M38" i="1"/>
  <c r="P38" i="1" s="1"/>
  <c r="J38" i="1"/>
  <c r="I38" i="1"/>
  <c r="O38" i="1" s="1"/>
  <c r="N37" i="1"/>
  <c r="M37" i="1"/>
  <c r="P37" i="1" s="1"/>
  <c r="J37" i="1"/>
  <c r="N36" i="1"/>
  <c r="M36" i="1"/>
  <c r="J36" i="1"/>
  <c r="P36" i="1"/>
  <c r="N35" i="1"/>
  <c r="M35" i="1"/>
  <c r="P35" i="1" s="1"/>
  <c r="J35" i="1"/>
  <c r="N34" i="1"/>
  <c r="M34" i="1"/>
  <c r="J34" i="1"/>
  <c r="P34" i="1" s="1"/>
  <c r="N33" i="1"/>
  <c r="M33" i="1"/>
  <c r="J33" i="1"/>
  <c r="P33" i="1" s="1"/>
  <c r="M17" i="1"/>
  <c r="P17" i="1" s="1"/>
  <c r="J16" i="1"/>
  <c r="N17" i="1"/>
  <c r="J17" i="1"/>
  <c r="N16" i="1"/>
  <c r="M16" i="1"/>
  <c r="P64" i="1"/>
  <c r="P67" i="1"/>
  <c r="P66" i="1"/>
  <c r="I67" i="1"/>
  <c r="O67" i="1" s="1"/>
  <c r="I66" i="1"/>
  <c r="O66" i="1"/>
  <c r="I65" i="1"/>
  <c r="O65" i="1"/>
  <c r="I64" i="1"/>
  <c r="O64" i="1" s="1"/>
  <c r="P40" i="1"/>
  <c r="I40" i="1"/>
  <c r="O40" i="1"/>
  <c r="I39" i="1"/>
  <c r="O39" i="1" s="1"/>
  <c r="I37" i="1"/>
  <c r="O37" i="1" s="1"/>
  <c r="I36" i="1"/>
  <c r="O36" i="1" s="1"/>
  <c r="I35" i="1"/>
  <c r="I34" i="1"/>
  <c r="I33" i="1"/>
  <c r="O33" i="1" s="1"/>
  <c r="I17" i="1"/>
  <c r="I10" i="1"/>
  <c r="N61" i="1"/>
  <c r="N62" i="1"/>
  <c r="N63" i="1"/>
  <c r="N68" i="1"/>
  <c r="N60" i="1"/>
  <c r="N57" i="1"/>
  <c r="N58" i="1"/>
  <c r="N59" i="1"/>
  <c r="N56" i="1"/>
  <c r="N49" i="1"/>
  <c r="N50" i="1"/>
  <c r="N51" i="1"/>
  <c r="N52" i="1"/>
  <c r="N53" i="1"/>
  <c r="N54" i="1"/>
  <c r="N48" i="1"/>
  <c r="N45" i="1"/>
  <c r="N46" i="1"/>
  <c r="N44" i="1"/>
  <c r="N32" i="1"/>
  <c r="N42" i="1"/>
  <c r="N31" i="1"/>
  <c r="N20" i="1"/>
  <c r="N21" i="1"/>
  <c r="N22" i="1"/>
  <c r="N23" i="1"/>
  <c r="N24" i="1"/>
  <c r="N25" i="1"/>
  <c r="N26" i="1"/>
  <c r="N27" i="1"/>
  <c r="N28" i="1"/>
  <c r="N29" i="1"/>
  <c r="N19" i="1"/>
  <c r="N14" i="1"/>
  <c r="N15" i="1"/>
  <c r="I61" i="1"/>
  <c r="O61" i="1" s="1"/>
  <c r="J61" i="1"/>
  <c r="M61" i="1"/>
  <c r="I62" i="1"/>
  <c r="J62" i="1"/>
  <c r="P62" i="1" s="1"/>
  <c r="M62" i="1"/>
  <c r="I63" i="1"/>
  <c r="O63" i="1" s="1"/>
  <c r="J63" i="1"/>
  <c r="P63" i="1" s="1"/>
  <c r="M63" i="1"/>
  <c r="I68" i="1"/>
  <c r="J68" i="1"/>
  <c r="M68" i="1"/>
  <c r="P68" i="1" s="1"/>
  <c r="M60" i="1"/>
  <c r="J60" i="1"/>
  <c r="I60" i="1"/>
  <c r="O60" i="1" s="1"/>
  <c r="I57" i="1"/>
  <c r="J57" i="1"/>
  <c r="M57" i="1"/>
  <c r="I58" i="1"/>
  <c r="O58" i="1" s="1"/>
  <c r="J58" i="1"/>
  <c r="M58" i="1"/>
  <c r="I59" i="1"/>
  <c r="J59" i="1"/>
  <c r="M59" i="1"/>
  <c r="P59" i="1" s="1"/>
  <c r="M56" i="1"/>
  <c r="J56" i="1"/>
  <c r="I56" i="1"/>
  <c r="I49" i="1"/>
  <c r="J49" i="1"/>
  <c r="M49" i="1"/>
  <c r="P49" i="1" s="1"/>
  <c r="I50" i="1"/>
  <c r="O50" i="1" s="1"/>
  <c r="J50" i="1"/>
  <c r="M50" i="1"/>
  <c r="I51" i="1"/>
  <c r="J51" i="1"/>
  <c r="M51" i="1"/>
  <c r="P51" i="1" s="1"/>
  <c r="I52" i="1"/>
  <c r="O52" i="1" s="1"/>
  <c r="J52" i="1"/>
  <c r="M52" i="1"/>
  <c r="I53" i="1"/>
  <c r="J53" i="1"/>
  <c r="M53" i="1"/>
  <c r="P53" i="1" s="1"/>
  <c r="I54" i="1"/>
  <c r="O54" i="1" s="1"/>
  <c r="J54" i="1"/>
  <c r="M54" i="1"/>
  <c r="M48" i="1"/>
  <c r="P48" i="1" s="1"/>
  <c r="J48" i="1"/>
  <c r="I48" i="1"/>
  <c r="O48" i="1"/>
  <c r="I45" i="1"/>
  <c r="J45" i="1"/>
  <c r="M45" i="1"/>
  <c r="I46" i="1"/>
  <c r="J46" i="1"/>
  <c r="M46" i="1"/>
  <c r="M44" i="1"/>
  <c r="J44" i="1"/>
  <c r="P44" i="1" s="1"/>
  <c r="I44" i="1"/>
  <c r="M32" i="1"/>
  <c r="M42" i="1"/>
  <c r="P42" i="1" s="1"/>
  <c r="I32" i="1"/>
  <c r="O32" i="1" s="1"/>
  <c r="J32" i="1"/>
  <c r="I42" i="1"/>
  <c r="O42" i="1" s="1"/>
  <c r="J42" i="1"/>
  <c r="M31" i="1"/>
  <c r="J31" i="1"/>
  <c r="P31" i="1" s="1"/>
  <c r="I31" i="1"/>
  <c r="O31" i="1" s="1"/>
  <c r="M23" i="1"/>
  <c r="M24" i="1"/>
  <c r="M25" i="1"/>
  <c r="M26" i="1"/>
  <c r="M27" i="1"/>
  <c r="M28" i="1"/>
  <c r="M29" i="1"/>
  <c r="I23" i="1"/>
  <c r="J23" i="1"/>
  <c r="I24" i="1"/>
  <c r="J24" i="1"/>
  <c r="I25" i="1"/>
  <c r="O25" i="1" s="1"/>
  <c r="J25" i="1"/>
  <c r="I26" i="1"/>
  <c r="J26" i="1"/>
  <c r="I27" i="1"/>
  <c r="J27" i="1"/>
  <c r="P27" i="1" s="1"/>
  <c r="I28" i="1"/>
  <c r="O28" i="1" s="1"/>
  <c r="J28" i="1"/>
  <c r="I29" i="1"/>
  <c r="J29" i="1"/>
  <c r="M14" i="1"/>
  <c r="M15" i="1"/>
  <c r="I14" i="1"/>
  <c r="J14" i="1"/>
  <c r="J15" i="1"/>
  <c r="P26" i="1"/>
  <c r="P29" i="1"/>
  <c r="P23" i="1"/>
  <c r="O29" i="1"/>
  <c r="P57" i="1"/>
  <c r="O27" i="1"/>
  <c r="O57" i="1"/>
  <c r="O44" i="1"/>
  <c r="O59" i="1"/>
  <c r="O62" i="1"/>
  <c r="O53" i="1"/>
  <c r="O51" i="1"/>
  <c r="M20" i="1"/>
  <c r="M21" i="1"/>
  <c r="M22" i="1"/>
  <c r="M19" i="1"/>
  <c r="J20" i="1"/>
  <c r="J21" i="1"/>
  <c r="J22" i="1"/>
  <c r="I20" i="1"/>
  <c r="O20" i="1" s="1"/>
  <c r="I21" i="1"/>
  <c r="I22" i="1"/>
  <c r="O22" i="1" s="1"/>
  <c r="J19" i="1"/>
  <c r="I19" i="1"/>
  <c r="I11" i="1"/>
  <c r="I12" i="1"/>
  <c r="I13" i="1"/>
  <c r="J11" i="1"/>
  <c r="J12" i="1"/>
  <c r="J13" i="1"/>
  <c r="N11" i="1"/>
  <c r="N12" i="1"/>
  <c r="N13" i="1"/>
  <c r="M11" i="1"/>
  <c r="M12" i="1"/>
  <c r="M13" i="1"/>
  <c r="P13" i="1" s="1"/>
  <c r="N10" i="1"/>
  <c r="M10" i="1"/>
  <c r="J10" i="1"/>
  <c r="L72" i="1"/>
  <c r="H72" i="1"/>
  <c r="H6" i="1"/>
  <c r="O24" i="1" l="1"/>
  <c r="L69" i="1"/>
  <c r="N72" i="1" s="1"/>
  <c r="K6" i="1" s="1"/>
  <c r="O13" i="1"/>
  <c r="P65" i="1"/>
  <c r="P46" i="1"/>
  <c r="O26" i="1"/>
  <c r="O56" i="1"/>
  <c r="O34" i="1"/>
  <c r="P22" i="1"/>
  <c r="P15" i="1"/>
  <c r="P12" i="1"/>
  <c r="P28" i="1"/>
  <c r="P25" i="1"/>
  <c r="P32" i="1"/>
  <c r="P54" i="1"/>
  <c r="P52" i="1"/>
  <c r="P50" i="1"/>
  <c r="P56" i="1"/>
  <c r="P58" i="1"/>
  <c r="P60" i="1"/>
  <c r="P61" i="1"/>
  <c r="O35" i="1"/>
  <c r="O17" i="1"/>
  <c r="O23" i="1"/>
  <c r="O10" i="1"/>
  <c r="P21" i="1"/>
  <c r="O21" i="1"/>
  <c r="O16" i="1"/>
  <c r="P11" i="1"/>
  <c r="P20" i="1"/>
  <c r="O11" i="1"/>
  <c r="O15" i="1"/>
  <c r="O12" i="1"/>
  <c r="O45" i="1"/>
  <c r="O14" i="1"/>
  <c r="O19" i="1"/>
  <c r="P10" i="1"/>
  <c r="P19" i="1"/>
  <c r="P45" i="1"/>
  <c r="P14" i="1"/>
  <c r="P16" i="1"/>
  <c r="P24" i="1"/>
  <c r="O69" i="1" l="1"/>
  <c r="J72" i="1"/>
  <c r="N6" i="1" s="1"/>
  <c r="J73" i="1" l="1"/>
  <c r="N73" i="1"/>
  <c r="N74" i="1" s="1"/>
  <c r="P6" i="1" l="1"/>
  <c r="J74" i="1"/>
</calcChain>
</file>

<file path=xl/sharedStrings.xml><?xml version="1.0" encoding="utf-8"?>
<sst xmlns="http://schemas.openxmlformats.org/spreadsheetml/2006/main" count="286" uniqueCount="195">
  <si>
    <t>CONTRATO Nº:</t>
  </si>
  <si>
    <t>INÍCIO:</t>
  </si>
  <si>
    <t>TÉRMINO:</t>
  </si>
  <si>
    <t>PERÍODO:</t>
  </si>
  <si>
    <t xml:space="preserve">a </t>
  </si>
  <si>
    <t>PRAZO:</t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</si>
  <si>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</si>
  <si>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</si>
  <si>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</si>
  <si>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</si>
  <si>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</si>
  <si>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</si>
  <si>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</si>
  <si>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</si>
  <si>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TOTAL MEDIDO</t>
  </si>
  <si>
    <t>TOTAL</t>
  </si>
  <si>
    <t>%</t>
  </si>
  <si>
    <t>1.</t>
  </si>
  <si>
    <t>1.1</t>
  </si>
  <si>
    <t>TOTAIS</t>
  </si>
  <si>
    <t xml:space="preserve">VALOR TOTAL DO CONTRATO </t>
  </si>
  <si>
    <t>POSIÇÃO FÍSICA DO CONTRATO</t>
  </si>
  <si>
    <t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</si>
  <si>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</si>
  <si>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</si>
  <si>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</si>
  <si>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</si>
  <si>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</si>
  <si>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>m</t>
  </si>
  <si>
    <t>1.2</t>
  </si>
  <si>
    <t>1.3</t>
  </si>
  <si>
    <t>1.4</t>
  </si>
  <si>
    <t>2.</t>
  </si>
  <si>
    <t>2.1</t>
  </si>
  <si>
    <t>2.2</t>
  </si>
  <si>
    <t>2.3</t>
  </si>
  <si>
    <t>2.4</t>
  </si>
  <si>
    <t>2.5</t>
  </si>
  <si>
    <t>1.5</t>
  </si>
  <si>
    <t>1.6</t>
  </si>
  <si>
    <t>m²</t>
  </si>
  <si>
    <t>m³</t>
  </si>
  <si>
    <t>und</t>
  </si>
  <si>
    <t>2.6</t>
  </si>
  <si>
    <t>2.7</t>
  </si>
  <si>
    <t>2.8</t>
  </si>
  <si>
    <t>2.9</t>
  </si>
  <si>
    <t>2.10</t>
  </si>
  <si>
    <t>2.11</t>
  </si>
  <si>
    <t>3.</t>
  </si>
  <si>
    <t>3.1</t>
  </si>
  <si>
    <t>3.2</t>
  </si>
  <si>
    <t>3.3</t>
  </si>
  <si>
    <t>4.</t>
  </si>
  <si>
    <t>4.1</t>
  </si>
  <si>
    <t>kg</t>
  </si>
  <si>
    <t>4.2</t>
  </si>
  <si>
    <t>5.</t>
  </si>
  <si>
    <t>5.1</t>
  </si>
  <si>
    <t>5.2</t>
  </si>
  <si>
    <t>5.3</t>
  </si>
  <si>
    <t>5.4</t>
  </si>
  <si>
    <t>5.5</t>
  </si>
  <si>
    <t>5.6</t>
  </si>
  <si>
    <t>5.7</t>
  </si>
  <si>
    <t>6.</t>
  </si>
  <si>
    <t>6.1</t>
  </si>
  <si>
    <t>6.2</t>
  </si>
  <si>
    <t>6.3</t>
  </si>
  <si>
    <t>6.4</t>
  </si>
  <si>
    <t>BOLETIM DE MEDIÇÃO</t>
  </si>
  <si>
    <t>026/2022</t>
  </si>
  <si>
    <t>Assinatura: 23/02/2022</t>
  </si>
  <si>
    <r>
      <t>OBRA:</t>
    </r>
    <r>
      <rPr>
        <sz val="10"/>
        <rFont val="Arial"/>
        <family val="2"/>
      </rPr>
      <t xml:space="preserve"> CONSTRUÇÃO DE MURO DE CONTENÇÃO E ESTABILIZAÇÃO DE TALUDES EM ÁREA DE RISCO</t>
    </r>
  </si>
  <si>
    <r>
      <t>LOCAL:</t>
    </r>
    <r>
      <rPr>
        <sz val="10"/>
        <rFont val="Arial"/>
        <family val="2"/>
      </rPr>
      <t xml:space="preserve"> RUAS ANTÔNIO GIL VELOSO, CENTRO E MIGUEL ÂNGELO PIONTKOVSKY, BAIRRO NOSSA SENHORA DAS GRAÇAS, NESTE MUNICÍPIO</t>
    </r>
  </si>
  <si>
    <r>
      <t xml:space="preserve">EMPREITEIRA: </t>
    </r>
    <r>
      <rPr>
        <sz val="10"/>
        <rFont val="Arial"/>
        <family val="2"/>
      </rPr>
      <t>M S CONSTRUTORA EIRELI</t>
    </r>
  </si>
  <si>
    <t>365 DIAS</t>
  </si>
  <si>
    <t>1.7</t>
  </si>
  <si>
    <t>1.8</t>
  </si>
  <si>
    <t>Aluguel de container para almoxarifado</t>
  </si>
  <si>
    <t>mês</t>
  </si>
  <si>
    <t>Aluguel de container p/ escritório c/ ar condicionado e banheiro,isolam.térmico e acústico, 2 luminárias, janela de vidro, tomada p/ comput. E telef.</t>
  </si>
  <si>
    <t>Aluguel de container tipo refeitório (2 unidades acopladas), c/ 2 aparelhos de ar condicionado, 4 lumináriase 4 janelas de vidro</t>
  </si>
  <si>
    <t>Aluguel de container tipo sanitário com 3 vasos sanitários, lavatório, mictório, 5 chuveiros, 2 venezianas e piso especial</t>
  </si>
  <si>
    <t>Reservatório de fibra de vidro de 1000 L, incl. suporte em madeira de 7x12cm, elevado de 4m</t>
  </si>
  <si>
    <t>Rede de água c/ padrão de entrada d'água diâm. 3/4" conf. CESAN, incl. tubos e conexões p/ aliment., distrib., extravas. e limp., cons. o padrão a 25m</t>
  </si>
  <si>
    <t>Rede de luz, incl. padrão entr. energia trifás. cabo ligação até barracões, quadro distrib., disj. e chave de força, cons. 20m entre padrão entr.e QDG</t>
  </si>
  <si>
    <t>Galpão em peças de madeira 8x8cm e contravent. de 5x7cm, cobertura de telhas de fibroc. de 6mm, incl. ponto e cabo de alimentação da máquina</t>
  </si>
  <si>
    <t>CANTEIRO DE OBRAS</t>
  </si>
  <si>
    <t>Capina manual inclusive, limpeza</t>
  </si>
  <si>
    <t>Escavação, carga e transporte de material de 1ª cat. 1000 a 1200 m com moto-escavotransportador</t>
  </si>
  <si>
    <t>Escavação, carga e transporte de material de 2ª cat. 1000 a 1200 m com moto-escavotransportador</t>
  </si>
  <si>
    <t>Escavação e carga de material de 3ª categoria (H bancada &gt;1,0 m)</t>
  </si>
  <si>
    <t>Fragmentação de rocha (fogacheamento)</t>
  </si>
  <si>
    <t>Preparo manual de talude, compreendendo acerto, raspagem eventual de até 0,30m de prof. e afastamento lateral</t>
  </si>
  <si>
    <t>Transporte de materiais encosta acima, serviço manual, inclusive carga e e descarga</t>
  </si>
  <si>
    <t>tdam</t>
  </si>
  <si>
    <t>Transporte de materiais encosta abaixo, serviço manual, inclusive carga e descarga</t>
  </si>
  <si>
    <t xml:space="preserve">Transporte Local de Materiais (TR-101-01) (Vias urbanas - Caminhão basculante): XP=7 e XR=2 - (1,123XP + 1,497XR + 1,872) -  </t>
  </si>
  <si>
    <t>t</t>
  </si>
  <si>
    <t>Compactação de aterros 100% PN</t>
  </si>
  <si>
    <t>Aquisição de solo de jazida comercial (saibreira)</t>
  </si>
  <si>
    <t>TERRAPLANAGEM</t>
  </si>
  <si>
    <t>DRENAGEM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</si>
  <si>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</si>
  <si>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</si>
  <si>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</si>
  <si>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</si>
  <si>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</si>
  <si>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</si>
  <si>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</si>
  <si>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</si>
  <si>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</si>
  <si>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Religação de rede de água em PVC DN 25mm,inclusive conexões</t>
  </si>
  <si>
    <t>Tubo PVC rígido para esgoto no diâmetro de 200mm incluindo escavação e aterro com areia</t>
  </si>
  <si>
    <t>Canaleta de concreto retangular (0,130m³/m) inclusive caiação</t>
  </si>
  <si>
    <t>Caixa coletora em bloco pré-moldado para d-&gt;0,60m (1,00 x 1,00m)</t>
  </si>
  <si>
    <t>Ud</t>
  </si>
  <si>
    <t>Tampa de concreto em grelha, fornecimento, assentamento e transporte</t>
  </si>
  <si>
    <t>Eletroduto de PVC diâmetro de 4", fornecimento e instalação</t>
  </si>
  <si>
    <t>Geogrelha com resistência londitudinal a tração 35 a 40 kN, resist. transversal a tração 30 kN e deformação 5%, fornecimento e aplicação</t>
  </si>
  <si>
    <t>Colchão drenante de brita 2 inclusive fornecimento, espalhamento,compactação e transporte da brita</t>
  </si>
  <si>
    <t>Meio fio (remoção e reassentamento), inclusive caiação</t>
  </si>
  <si>
    <t>Calçada de concreto</t>
  </si>
  <si>
    <t>Tela de aço soldada Telcon Q-138 ou similar, fornecimento e assentamento</t>
  </si>
  <si>
    <t>Lona plástica preta para isolamento de concretagem sobre solo, fornecimento e colocação</t>
  </si>
  <si>
    <t>SINALIZAÇÃO</t>
  </si>
  <si>
    <t>4.3</t>
  </si>
  <si>
    <t>Placas de sinalização, inclusive materiais, substituição</t>
  </si>
  <si>
    <t>Tapume de vedação e proteção, executado com chapas de compensado resinado com 6 mm de espessura, exclusive pintura, em Vias Urbanas</t>
  </si>
  <si>
    <t xml:space="preserve">Tela de proteção de segurança de PVC cor laranja com suporte para sinalização de obras </t>
  </si>
  <si>
    <t>SOLO GRAPEADO</t>
  </si>
  <si>
    <t>Concreto projetado com cimento especial</t>
  </si>
  <si>
    <t>Microconcreto com aditivo</t>
  </si>
  <si>
    <t>Dreno de PVC  D = 50 mm em Vias Urbanas</t>
  </si>
  <si>
    <t>Manta Geotêxtil não tecida com resistência longitudinal a tração 10kN/m, fornecimento e aplicação</t>
  </si>
  <si>
    <t>Colchão drenante de brita 2 inclusive fornecimento, espalhamento, compactação e transporte da brita</t>
  </si>
  <si>
    <t>Grampo de aço CA-50 D = 12,5 mm para solo grampeado com capacidade de 30 kN - fornecimento, perfuração e instalação</t>
  </si>
  <si>
    <t>MURO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</si>
  <si>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</si>
  <si>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</si>
  <si>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</si>
  <si>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</si>
  <si>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</si>
  <si>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</si>
  <si>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</si>
  <si>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</si>
  <si>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</si>
  <si>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Formas planas de madeirit meso e superestrutura com 4 reaproveitamentos esp. -&gt; 17 mm</t>
  </si>
  <si>
    <t>Formas planas de madeira sem reaproveitamento (fundações), inclusive fornecimento e transporte das madeiras</t>
  </si>
  <si>
    <t>Concreto estrutural fck -&gt; 25,0 MPa com plastificante em Vias Urbanas</t>
  </si>
  <si>
    <t>Aluguel mensal de escoramento tubular com tubos metálicos com até 10 metros de altura</t>
  </si>
  <si>
    <t>Montagem e desmontagem de escoramento tubular normal, em obras de arte na densidade de 5m de tubo por m³ de escoramento</t>
  </si>
  <si>
    <t>Aço CA-50, fornecimento, dobragem e colocação nas formas (preço médio das bitolas)</t>
  </si>
  <si>
    <t>Acessório para tirante protendido de aço ST 85/105</t>
  </si>
  <si>
    <t>Tirante de aço ST 85/105, diâmetro de 32 mm, incluindo fornecimento da barra e da bainha proteção anticorrosiva, preparo e colocação no furo</t>
  </si>
  <si>
    <t>Injeção de calda de cimento para chumbamento de tirantes</t>
  </si>
  <si>
    <t>SC</t>
  </si>
  <si>
    <t>Perfuração rotativa inclinada, em rocha sã, com coroa de diamante, diâmetro N (75mm), inclusive deslocamento e posicionamento em cada furo.</t>
  </si>
  <si>
    <t>Plataforma ou passarela de pinho de 1ª ou similar, 1" x 12"</t>
  </si>
  <si>
    <t>Andaime de madeira para altura até 7 m, compreendendo montagem e desmontagem em Vias Urbanas</t>
  </si>
  <si>
    <t>Perfuração rotativa inclinada, em solo, com coroa de Widia, diâmetro 75mm</t>
  </si>
  <si>
    <t>PEDRO JAYME LANI JÚNIOR</t>
  </si>
  <si>
    <t>ENGENHEIRO CIVIL CREA ES 20109/D</t>
  </si>
  <si>
    <t>Reajustamento Planilha Base - Fonte DNIT</t>
  </si>
  <si>
    <t>Índices</t>
  </si>
  <si>
    <t>Grupo de Serviços</t>
  </si>
  <si>
    <t>Reajuste</t>
  </si>
  <si>
    <t>Terraplenagem</t>
  </si>
  <si>
    <t>Drenagem</t>
  </si>
  <si>
    <t>OBRAS DE ARTE ESPECIAIS (Sem Aço)</t>
  </si>
  <si>
    <t xml:space="preserve">OBRAS DE ARTE ESPECIAIS </t>
  </si>
  <si>
    <t>Sinalização Vertical</t>
  </si>
  <si>
    <t>Mobilização e Desmobilização</t>
  </si>
  <si>
    <t>OBS: todos os itens, exceto o 05.07 (SICRO ABRIL 2021) e 03.02 (DER EDIF. 2021)</t>
  </si>
  <si>
    <t>REAJUSTE</t>
  </si>
  <si>
    <t>REAJUSTE + BDI</t>
  </si>
  <si>
    <t>PREFEITURA MUNICIPAL DE SÃO ROQUE DO CANAÃ</t>
  </si>
  <si>
    <t>1,00 mês</t>
  </si>
  <si>
    <t>DATA: 02/06/2022</t>
  </si>
  <si>
    <t>MEDIÇÃO 02</t>
  </si>
  <si>
    <r>
      <t xml:space="preserve">OBRA: </t>
    </r>
    <r>
      <rPr>
        <sz val="12"/>
        <rFont val="Times New Roman"/>
        <family val="1"/>
      </rPr>
      <t>Construção de muro de contenção e estabilização de taludes em área de risco</t>
    </r>
  </si>
  <si>
    <r>
      <t>LOCAL:</t>
    </r>
    <r>
      <rPr>
        <sz val="12"/>
        <rFont val="Times New Roman"/>
        <family val="1"/>
      </rPr>
      <t xml:space="preserve"> Ruas Antônio Gil Veloso, Centro e Miguel Ângelo Piontkovsky, Bairro Nossa Senhora das Graças, neste Município</t>
    </r>
  </si>
  <si>
    <t>Data: 02/06/2022</t>
  </si>
  <si>
    <t>Descrição</t>
  </si>
  <si>
    <t>Und</t>
  </si>
  <si>
    <t>Quant.</t>
  </si>
  <si>
    <t>Item</t>
  </si>
  <si>
    <t>Talude escavado: 80,00 m (comprimento) x 3,00 m (largura) x 6,50 m (pronfundidade) = 1.560,00 m³</t>
  </si>
  <si>
    <t>Talude escavado: 30,00 m (comprimento) x 2,20 m (largura) x 2,58 m (pronfundidade) = 170,28 m³</t>
  </si>
  <si>
    <t>Calçada escavada: 16,00 m (comprimento) x 2,00 m (largura) x 2,58 m (pronfundidade) = 72,96 m³</t>
  </si>
  <si>
    <t>Demolição de rocha para abertura da calçada: 16,00 m (comprimento) x 2,00 m (largura) x 2,58 m (pronfundidade) = 72,96 m³</t>
  </si>
  <si>
    <t>Taludes                                                                                                                                                                    37,00 m x 15,00 m = 555,00 m²                                                                                                                             20,00 m x 8,00 m = 160,00 m²                                                                                                                               18,00 m x 11,50 m = 207,00 m²                                                                                                                              10,00 m x 42,73 m² = 427,30 m²                                                                                                                         16,00 m x 32,27 m = 516,32 m² Total = 1865,60 m²</t>
  </si>
  <si>
    <t>Placas para sinalização na Rua Antônio Gil Veloso: 1,00 m x 0,80 m x 10 placas = 8,00 m²</t>
  </si>
  <si>
    <t>Memória de cálculo 2ª Medição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</si>
</sst>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  <numFmt numFmtId="166" formatCode="_-* #,##0.000_-;\-* #,##0.000_-;_-* &quot;-&quot;??_-;_-@_-"/>
    <numFmt numFmtId="167" formatCode="_-* #,##0.000_-;\-* #,##0.000_-;_-* &quot;-&quot;???_-;_-@_-"/>
  </numFmts>
  <fonts count="20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0"/>
      <name val="Arial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9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3" fontId="16" fillId="0" borderId="0" applyFont="0" applyFill="0" applyBorder="0" applyAlignment="0" applyProtection="0"/>
  </cellStyleXfs>
  <cellXfs count="285">
    <xf numFmtId="0" fontId="0" fillId="0" borderId="0" xfId="0"/>
    <xf numFmtId="0" fontId="2" fillId="0" borderId="0" xfId="0" applyFont="1"/>
    <xf numFmtId="164" fontId="2" fillId="0" borderId="0" xfId="1" applyFont="1" applyAlignment="1">
      <alignment vertical="center"/>
    </xf>
    <xf numFmtId="2" fontId="2" fillId="0" borderId="0" xfId="0" applyNumberFormat="1" applyFo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4" fillId="3" borderId="21" xfId="0" applyFont="1" applyFill="1" applyBorder="1" applyAlignment="1">
      <alignment horizontal="right" vertical="center"/>
    </xf>
    <xf numFmtId="10" fontId="4" fillId="3" borderId="23" xfId="0" applyNumberFormat="1" applyFont="1" applyFill="1" applyBorder="1" applyAlignment="1">
      <alignment horizontal="left" vertical="center"/>
    </xf>
    <xf numFmtId="10" fontId="5" fillId="3" borderId="23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4" fontId="0" fillId="0" borderId="0" xfId="1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164" fontId="3" fillId="0" borderId="34" xfId="1" applyFont="1" applyBorder="1" applyAlignment="1">
      <alignment horizontal="center" vertical="center" wrapText="1"/>
    </xf>
    <xf numFmtId="164" fontId="3" fillId="4" borderId="25" xfId="1" applyFont="1" applyFill="1" applyBorder="1" applyAlignment="1">
      <alignment horizontal="center" vertical="center" wrapText="1"/>
    </xf>
    <xf numFmtId="164" fontId="3" fillId="0" borderId="26" xfId="1" applyFont="1" applyBorder="1" applyAlignment="1">
      <alignment horizontal="center" vertical="center" wrapText="1"/>
    </xf>
    <xf numFmtId="164" fontId="3" fillId="0" borderId="24" xfId="1" applyFont="1" applyBorder="1" applyAlignment="1">
      <alignment horizontal="center" vertical="center" wrapText="1"/>
    </xf>
    <xf numFmtId="164" fontId="0" fillId="0" borderId="0" xfId="1" applyFont="1" applyAlignment="1">
      <alignment vertical="center"/>
    </xf>
    <xf numFmtId="164" fontId="3" fillId="5" borderId="29" xfId="1" applyFont="1" applyFill="1" applyBorder="1" applyAlignment="1">
      <alignment horizontal="center" vertical="center" wrapText="1"/>
    </xf>
    <xf numFmtId="10" fontId="3" fillId="0" borderId="35" xfId="1" applyNumberFormat="1" applyFont="1" applyBorder="1" applyAlignment="1">
      <alignment horizontal="center" vertical="center" wrapText="1"/>
    </xf>
    <xf numFmtId="164" fontId="3" fillId="0" borderId="17" xfId="1" applyFont="1" applyBorder="1" applyAlignment="1">
      <alignment horizontal="center" vertical="center"/>
    </xf>
    <xf numFmtId="164" fontId="3" fillId="5" borderId="29" xfId="1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4" fillId="5" borderId="21" xfId="0" applyFont="1" applyFill="1" applyBorder="1" applyAlignment="1">
      <alignment horizontal="right" vertical="center" wrapText="1"/>
    </xf>
    <xf numFmtId="2" fontId="0" fillId="0" borderId="0" xfId="0" applyNumberFormat="1"/>
    <xf numFmtId="10" fontId="3" fillId="0" borderId="35" xfId="1" applyNumberFormat="1" applyFont="1" applyBorder="1" applyAlignment="1">
      <alignment horizontal="center" vertical="center"/>
    </xf>
    <xf numFmtId="164" fontId="3" fillId="0" borderId="0" xfId="1" applyBorder="1" applyAlignment="1">
      <alignment wrapText="1"/>
    </xf>
    <xf numFmtId="164" fontId="3" fillId="0" borderId="0" xfId="1" applyBorder="1" applyAlignment="1">
      <alignment horizontal="center" wrapText="1"/>
    </xf>
    <xf numFmtId="164" fontId="3" fillId="0" borderId="0" xfId="1" applyBorder="1" applyAlignment="1">
      <alignment vertical="center" wrapText="1"/>
    </xf>
    <xf numFmtId="164" fontId="3" fillId="4" borderId="0" xfId="1" applyFill="1" applyBorder="1" applyAlignment="1">
      <alignment horizontal="center" vertical="center" wrapText="1"/>
    </xf>
    <xf numFmtId="164" fontId="3" fillId="0" borderId="0" xfId="1" applyBorder="1" applyAlignment="1">
      <alignment vertical="center"/>
    </xf>
    <xf numFmtId="164" fontId="3" fillId="4" borderId="0" xfId="1" applyFill="1" applyBorder="1" applyAlignment="1">
      <alignment vertical="center"/>
    </xf>
    <xf numFmtId="164" fontId="3" fillId="0" borderId="46" xfId="1" applyBorder="1" applyAlignment="1">
      <alignment vertical="center"/>
    </xf>
    <xf numFmtId="0" fontId="0" fillId="0" borderId="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164" fontId="3" fillId="0" borderId="5" xfId="1" applyBorder="1" applyAlignment="1">
      <alignment wrapText="1"/>
    </xf>
    <xf numFmtId="164" fontId="3" fillId="4" borderId="5" xfId="1" applyFill="1" applyBorder="1" applyAlignment="1">
      <alignment horizontal="center" vertical="center" wrapText="1"/>
    </xf>
    <xf numFmtId="164" fontId="3" fillId="0" borderId="5" xfId="1" applyBorder="1" applyAlignment="1">
      <alignment vertical="center" wrapText="1"/>
    </xf>
    <xf numFmtId="164" fontId="3" fillId="0" borderId="5" xfId="1" applyBorder="1" applyAlignment="1">
      <alignment vertical="center"/>
    </xf>
    <xf numFmtId="164" fontId="3" fillId="4" borderId="5" xfId="1" applyFill="1" applyBorder="1" applyAlignment="1">
      <alignment vertical="center"/>
    </xf>
    <xf numFmtId="164" fontId="3" fillId="0" borderId="6" xfId="1" applyBorder="1" applyAlignment="1">
      <alignment vertical="center"/>
    </xf>
    <xf numFmtId="165" fontId="4" fillId="0" borderId="0" xfId="0" applyNumberFormat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5" borderId="20" xfId="2" applyFont="1" applyFill="1" applyBorder="1" applyAlignment="1">
      <alignment horizontal="center" vertical="center"/>
    </xf>
    <xf numFmtId="0" fontId="4" fillId="5" borderId="18" xfId="2" applyFont="1" applyFill="1" applyBorder="1" applyAlignment="1">
      <alignment horizontal="left" vertical="center"/>
    </xf>
    <xf numFmtId="0" fontId="4" fillId="5" borderId="16" xfId="2" applyFont="1" applyFill="1" applyBorder="1" applyAlignment="1">
      <alignment horizontal="center" vertical="center"/>
    </xf>
    <xf numFmtId="164" fontId="6" fillId="5" borderId="16" xfId="1" applyFont="1" applyFill="1" applyBorder="1" applyAlignment="1">
      <alignment vertical="center"/>
    </xf>
    <xf numFmtId="164" fontId="4" fillId="5" borderId="16" xfId="1" applyFont="1" applyFill="1" applyBorder="1" applyAlignment="1">
      <alignment vertical="center"/>
    </xf>
    <xf numFmtId="164" fontId="3" fillId="5" borderId="16" xfId="1" applyFont="1" applyFill="1" applyBorder="1" applyAlignment="1">
      <alignment horizontal="center" vertical="center" wrapText="1"/>
    </xf>
    <xf numFmtId="164" fontId="3" fillId="5" borderId="20" xfId="1" applyFont="1" applyFill="1" applyBorder="1" applyAlignment="1">
      <alignment horizontal="center" vertical="center" wrapText="1"/>
    </xf>
    <xf numFmtId="164" fontId="3" fillId="5" borderId="19" xfId="1" applyFont="1" applyFill="1" applyBorder="1" applyAlignment="1">
      <alignment horizontal="center" vertical="center" wrapText="1"/>
    </xf>
    <xf numFmtId="164" fontId="3" fillId="0" borderId="28" xfId="1" applyFont="1" applyFill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6" borderId="0" xfId="0" applyFill="1"/>
    <xf numFmtId="164" fontId="3" fillId="4" borderId="28" xfId="1" applyFont="1" applyFill="1" applyBorder="1" applyAlignment="1">
      <alignment horizontal="center" vertical="center" wrapText="1"/>
    </xf>
    <xf numFmtId="164" fontId="3" fillId="4" borderId="29" xfId="1" applyFont="1" applyFill="1" applyBorder="1" applyAlignment="1">
      <alignment horizontal="center" vertical="center" wrapText="1"/>
    </xf>
    <xf numFmtId="10" fontId="3" fillId="4" borderId="35" xfId="1" applyNumberFormat="1" applyFont="1" applyFill="1" applyBorder="1" applyAlignment="1">
      <alignment horizontal="center" vertical="center" wrapText="1"/>
    </xf>
    <xf numFmtId="164" fontId="3" fillId="4" borderId="17" xfId="1" applyFont="1" applyFill="1" applyBorder="1" applyAlignment="1">
      <alignment horizontal="center" vertical="center"/>
    </xf>
    <xf numFmtId="10" fontId="3" fillId="4" borderId="35" xfId="1" applyNumberFormat="1" applyFont="1" applyFill="1" applyBorder="1" applyAlignment="1">
      <alignment horizontal="center" vertical="center"/>
    </xf>
    <xf numFmtId="165" fontId="3" fillId="0" borderId="18" xfId="3" applyNumberFormat="1" applyFont="1" applyFill="1" applyBorder="1" applyAlignment="1">
      <alignment horizontal="right" vertical="center" wrapText="1"/>
    </xf>
    <xf numFmtId="165" fontId="3" fillId="4" borderId="18" xfId="3" applyNumberFormat="1" applyFont="1" applyFill="1" applyBorder="1" applyAlignment="1">
      <alignment horizontal="right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5" fontId="4" fillId="0" borderId="0" xfId="0" applyNumberFormat="1" applyFont="1" applyBorder="1" applyAlignment="1">
      <alignment horizontal="center" vertical="center" wrapText="1"/>
    </xf>
    <xf numFmtId="0" fontId="10" fillId="4" borderId="29" xfId="9" applyFont="1" applyFill="1" applyBorder="1" applyAlignment="1">
      <alignment vertical="center" wrapText="1"/>
    </xf>
    <xf numFmtId="0" fontId="11" fillId="4" borderId="29" xfId="0" applyFont="1" applyFill="1" applyBorder="1" applyAlignment="1">
      <alignment horizontal="center" vertical="center"/>
    </xf>
    <xf numFmtId="4" fontId="12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vertical="center" wrapText="1"/>
    </xf>
    <xf numFmtId="0" fontId="13" fillId="4" borderId="29" xfId="0" applyFont="1" applyFill="1" applyBorder="1" applyAlignment="1">
      <alignment horizontal="center" vertical="center"/>
    </xf>
    <xf numFmtId="4" fontId="0" fillId="4" borderId="29" xfId="0" applyNumberForma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left" vertical="top" wrapText="1"/>
    </xf>
    <xf numFmtId="0" fontId="7" fillId="4" borderId="29" xfId="9" applyFont="1" applyFill="1" applyBorder="1" applyAlignment="1"/>
    <xf numFmtId="0" fontId="7" fillId="0" borderId="29" xfId="9" applyFont="1" applyFill="1" applyBorder="1" applyAlignment="1">
      <alignment vertical="center" wrapText="1"/>
    </xf>
    <xf numFmtId="0" fontId="7" fillId="0" borderId="29" xfId="9" applyFont="1" applyFill="1" applyBorder="1" applyAlignment="1">
      <alignment horizontal="center" vertical="center"/>
    </xf>
    <xf numFmtId="4" fontId="3" fillId="0" borderId="29" xfId="0" applyNumberFormat="1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left" vertical="center" wrapText="1"/>
    </xf>
    <xf numFmtId="0" fontId="0" fillId="4" borderId="29" xfId="0" applyFill="1" applyBorder="1" applyAlignment="1">
      <alignment horizontal="center" vertical="center"/>
    </xf>
    <xf numFmtId="0" fontId="7" fillId="0" borderId="29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right" vertical="center"/>
    </xf>
    <xf numFmtId="0" fontId="7" fillId="4" borderId="29" xfId="0" applyFont="1" applyFill="1" applyBorder="1" applyAlignment="1">
      <alignment vertical="center" wrapText="1"/>
    </xf>
    <xf numFmtId="0" fontId="3" fillId="0" borderId="29" xfId="2" applyBorder="1" applyAlignment="1">
      <alignment horizontal="center" vertical="center"/>
    </xf>
    <xf numFmtId="0" fontId="3" fillId="4" borderId="29" xfId="2" applyFill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/>
    </xf>
    <xf numFmtId="0" fontId="4" fillId="5" borderId="29" xfId="2" applyFont="1" applyFill="1" applyBorder="1" applyAlignment="1">
      <alignment horizontal="left" vertical="center"/>
    </xf>
    <xf numFmtId="0" fontId="7" fillId="4" borderId="29" xfId="9" applyFont="1" applyFill="1" applyBorder="1" applyAlignment="1">
      <alignment horizontal="left" vertical="center" wrapText="1"/>
    </xf>
    <xf numFmtId="0" fontId="7" fillId="4" borderId="29" xfId="9" applyFont="1" applyFill="1" applyBorder="1" applyAlignment="1">
      <alignment wrapText="1"/>
    </xf>
    <xf numFmtId="164" fontId="3" fillId="5" borderId="48" xfId="1" applyFont="1" applyFill="1" applyBorder="1" applyAlignment="1">
      <alignment horizontal="center" vertical="center" wrapText="1"/>
    </xf>
    <xf numFmtId="164" fontId="3" fillId="5" borderId="49" xfId="1" applyFont="1" applyFill="1" applyBorder="1" applyAlignment="1">
      <alignment horizontal="center" vertical="center" wrapText="1"/>
    </xf>
    <xf numFmtId="164" fontId="3" fillId="5" borderId="50" xfId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right" vertical="center"/>
    </xf>
    <xf numFmtId="165" fontId="0" fillId="0" borderId="0" xfId="0" applyNumberFormat="1"/>
    <xf numFmtId="10" fontId="0" fillId="0" borderId="0" xfId="0" applyNumberFormat="1"/>
    <xf numFmtId="0" fontId="14" fillId="0" borderId="18" xfId="0" applyFont="1" applyBorder="1" applyAlignment="1">
      <alignment horizontal="center" vertical="top"/>
    </xf>
    <xf numFmtId="0" fontId="14" fillId="0" borderId="18" xfId="0" applyFont="1" applyBorder="1" applyAlignment="1">
      <alignment vertical="center"/>
    </xf>
    <xf numFmtId="17" fontId="14" fillId="0" borderId="29" xfId="0" applyNumberFormat="1" applyFont="1" applyBorder="1" applyAlignment="1">
      <alignment vertical="center"/>
    </xf>
    <xf numFmtId="17" fontId="5" fillId="4" borderId="29" xfId="10" applyNumberFormat="1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/>
    </xf>
    <xf numFmtId="166" fontId="12" fillId="4" borderId="29" xfId="1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166" fontId="12" fillId="4" borderId="0" xfId="10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4" fontId="0" fillId="4" borderId="0" xfId="0" applyNumberFormat="1" applyFill="1" applyAlignment="1">
      <alignment horizontal="center" vertical="center"/>
    </xf>
    <xf numFmtId="4" fontId="0" fillId="4" borderId="0" xfId="0" applyNumberFormat="1" applyFill="1" applyAlignment="1">
      <alignment horizontal="right" vertical="center"/>
    </xf>
    <xf numFmtId="4" fontId="0" fillId="0" borderId="0" xfId="0" applyNumberFormat="1" applyFill="1" applyAlignment="1">
      <alignment horizontal="right" vertical="center"/>
    </xf>
    <xf numFmtId="0" fontId="14" fillId="0" borderId="29" xfId="0" applyFont="1" applyBorder="1" applyAlignment="1">
      <alignment vertical="center"/>
    </xf>
    <xf numFmtId="17" fontId="14" fillId="0" borderId="17" xfId="0" applyNumberFormat="1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65" fontId="0" fillId="6" borderId="0" xfId="0" applyNumberFormat="1" applyFill="1"/>
    <xf numFmtId="164" fontId="4" fillId="5" borderId="16" xfId="1" applyFont="1" applyFill="1" applyBorder="1" applyAlignment="1">
      <alignment horizontal="center" vertical="center" wrapText="1"/>
    </xf>
    <xf numFmtId="167" fontId="0" fillId="6" borderId="0" xfId="0" applyNumberFormat="1" applyFill="1"/>
    <xf numFmtId="4" fontId="12" fillId="4" borderId="18" xfId="0" applyNumberFormat="1" applyFont="1" applyFill="1" applyBorder="1" applyAlignment="1">
      <alignment horizontal="center" vertical="center"/>
    </xf>
    <xf numFmtId="17" fontId="14" fillId="0" borderId="0" xfId="1" applyNumberFormat="1" applyFont="1" applyFill="1" applyBorder="1" applyAlignment="1">
      <alignment horizontal="center" vertical="center"/>
    </xf>
    <xf numFmtId="17" fontId="5" fillId="4" borderId="0" xfId="10" applyNumberFormat="1" applyFont="1" applyFill="1" applyBorder="1" applyAlignment="1">
      <alignment horizontal="center" vertical="center"/>
    </xf>
    <xf numFmtId="164" fontId="3" fillId="7" borderId="29" xfId="1" applyFont="1" applyFill="1" applyBorder="1" applyAlignment="1">
      <alignment horizontal="center" vertical="center" wrapText="1"/>
    </xf>
    <xf numFmtId="164" fontId="3" fillId="7" borderId="29" xfId="1" applyFont="1" applyFill="1" applyBorder="1" applyAlignment="1">
      <alignment horizontal="center" vertical="center"/>
    </xf>
    <xf numFmtId="0" fontId="3" fillId="0" borderId="29" xfId="2" applyFill="1" applyBorder="1" applyAlignment="1">
      <alignment horizontal="center" vertical="center"/>
    </xf>
    <xf numFmtId="0" fontId="7" fillId="0" borderId="29" xfId="9" applyFont="1" applyFill="1" applyBorder="1" applyAlignment="1">
      <alignment horizontal="left" vertical="center" wrapText="1"/>
    </xf>
    <xf numFmtId="4" fontId="0" fillId="0" borderId="29" xfId="0" applyNumberFormat="1" applyFill="1" applyBorder="1" applyAlignment="1">
      <alignment horizontal="center" vertical="center"/>
    </xf>
    <xf numFmtId="4" fontId="12" fillId="0" borderId="29" xfId="0" applyNumberFormat="1" applyFont="1" applyFill="1" applyBorder="1" applyAlignment="1">
      <alignment horizontal="center" vertical="center"/>
    </xf>
    <xf numFmtId="4" fontId="12" fillId="0" borderId="18" xfId="0" applyNumberFormat="1" applyFont="1" applyFill="1" applyBorder="1" applyAlignment="1">
      <alignment horizontal="center" vertical="center"/>
    </xf>
    <xf numFmtId="164" fontId="3" fillId="0" borderId="29" xfId="1" applyFont="1" applyFill="1" applyBorder="1" applyAlignment="1">
      <alignment horizontal="center" vertical="center" wrapText="1"/>
    </xf>
    <xf numFmtId="10" fontId="3" fillId="0" borderId="35" xfId="1" applyNumberFormat="1" applyFont="1" applyFill="1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/>
    </xf>
    <xf numFmtId="10" fontId="3" fillId="0" borderId="35" xfId="1" applyNumberFormat="1" applyFont="1" applyFill="1" applyBorder="1" applyAlignment="1">
      <alignment horizontal="center" vertical="center"/>
    </xf>
    <xf numFmtId="0" fontId="0" fillId="4" borderId="0" xfId="0" applyFill="1"/>
    <xf numFmtId="164" fontId="4" fillId="5" borderId="49" xfId="1" applyFont="1" applyFill="1" applyBorder="1" applyAlignment="1">
      <alignment horizontal="center" vertical="center" wrapText="1"/>
    </xf>
    <xf numFmtId="0" fontId="1" fillId="8" borderId="22" xfId="0" applyFont="1" applyFill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43" fontId="17" fillId="0" borderId="26" xfId="11" applyFont="1" applyBorder="1" applyAlignment="1">
      <alignment horizontal="center" vertical="center"/>
    </xf>
    <xf numFmtId="0" fontId="17" fillId="7" borderId="21" xfId="5" applyFont="1" applyFill="1" applyBorder="1" applyAlignment="1">
      <alignment horizontal="center"/>
    </xf>
    <xf numFmtId="0" fontId="17" fillId="7" borderId="21" xfId="5" applyFont="1" applyFill="1" applyBorder="1" applyAlignment="1">
      <alignment wrapText="1"/>
    </xf>
    <xf numFmtId="0" fontId="17" fillId="7" borderId="22" xfId="5" applyFont="1" applyFill="1" applyBorder="1" applyAlignment="1">
      <alignment wrapText="1"/>
    </xf>
    <xf numFmtId="0" fontId="17" fillId="7" borderId="23" xfId="5" applyFont="1" applyFill="1" applyBorder="1" applyAlignment="1">
      <alignment wrapText="1"/>
    </xf>
    <xf numFmtId="0" fontId="18" fillId="0" borderId="52" xfId="5" applyFont="1" applyBorder="1" applyAlignment="1">
      <alignment horizontal="center" vertical="center"/>
    </xf>
    <xf numFmtId="0" fontId="18" fillId="0" borderId="11" xfId="5" applyFont="1" applyBorder="1" applyAlignment="1">
      <alignment vertical="center" wrapText="1"/>
    </xf>
    <xf numFmtId="0" fontId="0" fillId="0" borderId="0" xfId="0" applyBorder="1"/>
    <xf numFmtId="0" fontId="1" fillId="9" borderId="1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14" fontId="3" fillId="4" borderId="11" xfId="0" applyNumberFormat="1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45" xfId="0" applyFont="1" applyFill="1" applyBorder="1" applyAlignment="1">
      <alignment horizontal="right" vertical="center"/>
    </xf>
    <xf numFmtId="0" fontId="3" fillId="4" borderId="24" xfId="0" applyFont="1" applyFill="1" applyBorder="1" applyAlignment="1">
      <alignment horizontal="right" vertical="center"/>
    </xf>
    <xf numFmtId="14" fontId="3" fillId="4" borderId="33" xfId="0" applyNumberFormat="1" applyFont="1" applyFill="1" applyBorder="1" applyAlignment="1">
      <alignment horizontal="left" vertical="center"/>
    </xf>
    <xf numFmtId="14" fontId="3" fillId="4" borderId="47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left" vertical="center"/>
    </xf>
    <xf numFmtId="0" fontId="3" fillId="4" borderId="44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165" fontId="1" fillId="3" borderId="21" xfId="0" applyNumberFormat="1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4" fontId="3" fillId="0" borderId="18" xfId="1" applyFont="1" applyBorder="1" applyAlignment="1">
      <alignment horizontal="center" vertical="center" wrapText="1"/>
    </xf>
    <xf numFmtId="164" fontId="3" fillId="0" borderId="33" xfId="1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4" borderId="17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14" fontId="1" fillId="8" borderId="21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left" vertical="center"/>
    </xf>
    <xf numFmtId="0" fontId="1" fillId="8" borderId="23" xfId="0" applyFont="1" applyFill="1" applyBorder="1" applyAlignment="1">
      <alignment horizontal="left" vertical="center"/>
    </xf>
    <xf numFmtId="0" fontId="3" fillId="4" borderId="42" xfId="0" applyFont="1" applyFill="1" applyBorder="1" applyAlignment="1">
      <alignment horizontal="right" vertical="center"/>
    </xf>
    <xf numFmtId="0" fontId="3" fillId="4" borderId="43" xfId="0" applyFont="1" applyFill="1" applyBorder="1" applyAlignment="1">
      <alignment horizontal="right" vertical="center"/>
    </xf>
    <xf numFmtId="165" fontId="4" fillId="5" borderId="40" xfId="0" applyNumberFormat="1" applyFont="1" applyFill="1" applyBorder="1" applyAlignment="1">
      <alignment horizontal="center" vertical="center" wrapText="1"/>
    </xf>
    <xf numFmtId="165" fontId="4" fillId="5" borderId="4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46" xfId="2" applyFont="1" applyBorder="1" applyAlignment="1">
      <alignment horizontal="center" vertical="center" wrapText="1"/>
    </xf>
    <xf numFmtId="165" fontId="4" fillId="0" borderId="39" xfId="0" applyNumberFormat="1" applyFont="1" applyBorder="1" applyAlignment="1">
      <alignment horizontal="center" vertical="center" wrapText="1"/>
    </xf>
    <xf numFmtId="165" fontId="4" fillId="0" borderId="40" xfId="0" applyNumberFormat="1" applyFont="1" applyBorder="1" applyAlignment="1">
      <alignment horizontal="center" vertical="center" wrapText="1"/>
    </xf>
    <xf numFmtId="165" fontId="4" fillId="0" borderId="41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left" vertical="center" wrapText="1"/>
    </xf>
    <xf numFmtId="0" fontId="4" fillId="5" borderId="27" xfId="0" applyFont="1" applyFill="1" applyBorder="1" applyAlignment="1">
      <alignment horizontal="left" vertical="center" wrapText="1"/>
    </xf>
    <xf numFmtId="10" fontId="4" fillId="5" borderId="40" xfId="0" applyNumberFormat="1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65" fontId="3" fillId="0" borderId="37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10" fontId="3" fillId="0" borderId="31" xfId="0" applyNumberFormat="1" applyFont="1" applyBorder="1" applyAlignment="1">
      <alignment horizontal="center" vertical="center" wrapText="1"/>
    </xf>
    <xf numFmtId="165" fontId="3" fillId="0" borderId="31" xfId="0" applyNumberFormat="1" applyFont="1" applyBorder="1" applyAlignment="1">
      <alignment horizontal="center" vertical="center" wrapText="1"/>
    </xf>
    <xf numFmtId="165" fontId="3" fillId="0" borderId="32" xfId="0" applyNumberFormat="1" applyFont="1" applyBorder="1" applyAlignment="1">
      <alignment horizontal="center" vertical="center" wrapText="1"/>
    </xf>
    <xf numFmtId="17" fontId="14" fillId="0" borderId="18" xfId="1" applyNumberFormat="1" applyFont="1" applyFill="1" applyBorder="1" applyAlignment="1">
      <alignment horizontal="center" vertical="center"/>
    </xf>
    <xf numFmtId="17" fontId="14" fillId="0" borderId="16" xfId="1" applyNumberFormat="1" applyFont="1" applyFill="1" applyBorder="1" applyAlignment="1">
      <alignment horizontal="center" vertical="center"/>
    </xf>
    <xf numFmtId="17" fontId="14" fillId="0" borderId="17" xfId="1" applyNumberFormat="1" applyFont="1" applyFill="1" applyBorder="1" applyAlignment="1">
      <alignment horizontal="center" vertical="center"/>
    </xf>
    <xf numFmtId="164" fontId="4" fillId="0" borderId="45" xfId="1" applyFont="1" applyBorder="1" applyAlignment="1">
      <alignment horizontal="center" wrapText="1"/>
    </xf>
    <xf numFmtId="164" fontId="3" fillId="0" borderId="5" xfId="1" applyFont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10" fontId="3" fillId="0" borderId="37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left" vertical="top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18" fillId="0" borderId="20" xfId="5" applyFont="1" applyBorder="1" applyAlignment="1">
      <alignment horizontal="left" vertical="center" wrapText="1"/>
    </xf>
    <xf numFmtId="0" fontId="18" fillId="0" borderId="17" xfId="5" applyFont="1" applyBorder="1" applyAlignment="1">
      <alignment horizontal="left" vertical="center" wrapText="1"/>
    </xf>
    <xf numFmtId="0" fontId="18" fillId="0" borderId="56" xfId="5" applyFont="1" applyBorder="1" applyAlignment="1">
      <alignment horizontal="center" vertical="center"/>
    </xf>
    <xf numFmtId="0" fontId="18" fillId="0" borderId="11" xfId="5" applyFont="1" applyBorder="1" applyAlignment="1">
      <alignment horizontal="center" vertical="center"/>
    </xf>
    <xf numFmtId="2" fontId="18" fillId="0" borderId="35" xfId="7" applyNumberFormat="1" applyFont="1" applyBorder="1" applyAlignment="1">
      <alignment horizontal="center" vertical="center"/>
    </xf>
    <xf numFmtId="0" fontId="18" fillId="0" borderId="43" xfId="5" applyFont="1" applyBorder="1" applyAlignment="1">
      <alignment horizontal="center" vertical="center"/>
    </xf>
    <xf numFmtId="0" fontId="18" fillId="0" borderId="54" xfId="5" applyFont="1" applyBorder="1" applyAlignment="1">
      <alignment horizontal="center" vertical="center"/>
    </xf>
    <xf numFmtId="2" fontId="18" fillId="0" borderId="44" xfId="7" applyNumberFormat="1" applyFont="1" applyBorder="1" applyAlignment="1">
      <alignment horizontal="center" vertical="center"/>
    </xf>
    <xf numFmtId="2" fontId="18" fillId="0" borderId="55" xfId="7" applyNumberFormat="1" applyFont="1" applyBorder="1" applyAlignment="1">
      <alignment horizontal="center" vertical="center"/>
    </xf>
    <xf numFmtId="0" fontId="18" fillId="0" borderId="48" xfId="5" applyFont="1" applyBorder="1" applyAlignment="1">
      <alignment horizontal="left" vertical="center" wrapText="1"/>
    </xf>
    <xf numFmtId="0" fontId="18" fillId="0" borderId="53" xfId="5" applyFont="1" applyBorder="1" applyAlignment="1">
      <alignment horizontal="left" vertical="center" wrapText="1"/>
    </xf>
    <xf numFmtId="0" fontId="18" fillId="0" borderId="29" xfId="5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wrapText="1"/>
    </xf>
    <xf numFmtId="0" fontId="19" fillId="0" borderId="29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2" fontId="17" fillId="0" borderId="20" xfId="0" applyNumberFormat="1" applyFont="1" applyBorder="1" applyAlignment="1">
      <alignment horizontal="left" vertical="center" wrapText="1"/>
    </xf>
    <xf numFmtId="2" fontId="17" fillId="0" borderId="17" xfId="0" applyNumberFormat="1" applyFont="1" applyBorder="1" applyAlignment="1">
      <alignment horizontal="left" vertical="center" wrapText="1"/>
    </xf>
    <xf numFmtId="2" fontId="17" fillId="0" borderId="33" xfId="0" applyNumberFormat="1" applyFont="1" applyBorder="1" applyAlignment="1">
      <alignment horizontal="center" vertical="center" wrapText="1"/>
    </xf>
    <xf numFmtId="2" fontId="17" fillId="0" borderId="47" xfId="0" applyNumberFormat="1" applyFont="1" applyBorder="1" applyAlignment="1">
      <alignment horizontal="center" vertical="center" wrapText="1"/>
    </xf>
    <xf numFmtId="2" fontId="17" fillId="0" borderId="15" xfId="0" applyNumberFormat="1" applyFont="1" applyBorder="1" applyAlignment="1">
      <alignment horizontal="center" vertical="center" wrapText="1"/>
    </xf>
    <xf numFmtId="2" fontId="17" fillId="0" borderId="51" xfId="0" applyNumberFormat="1" applyFont="1" applyBorder="1" applyAlignment="1">
      <alignment horizontal="center" vertical="center" wrapText="1"/>
    </xf>
    <xf numFmtId="2" fontId="18" fillId="0" borderId="12" xfId="7" applyNumberFormat="1" applyFont="1" applyBorder="1" applyAlignment="1">
      <alignment horizontal="center" vertical="center"/>
    </xf>
  </cellXfs>
  <cellStyles count="12">
    <cellStyle name="Moeda 2" xfId="3"/>
    <cellStyle name="Normal" xfId="0" builtinId="0"/>
    <cellStyle name="Normal 2" xfId="2"/>
    <cellStyle name="Normal 2 2 2" xfId="9"/>
    <cellStyle name="Normal 3" xfId="4"/>
    <cellStyle name="Normal 5 2" xfId="6"/>
    <cellStyle name="Normal 6 2" xfId="5"/>
    <cellStyle name="Normal 7 3" xfId="8"/>
    <cellStyle name="Vírgula" xfId="11" builtinId="3"/>
    <cellStyle name="Vírgula 2" xfId="1"/>
    <cellStyle name="Vírgula 2 13 3" xfId="10"/>
    <cellStyle name="Vírgula 5 2" xfId="7"/>
  </cellStyles>
  <dxfs count="22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1</xdr:row>
      <xdr:rowOff>28576</xdr:rowOff>
    </xdr:from>
    <xdr:to>
      <xdr:col>2</xdr:col>
      <xdr:colOff>723901</xdr:colOff>
      <xdr:row>6</xdr:row>
      <xdr:rowOff>153076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E97FE3D-4E1A-4DB2-841F-792C62C1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1" y="228601"/>
          <a:ext cx="1143000" cy="107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4"/>
  <sheetViews>
    <sheetView view="pageBreakPreview" zoomScaleNormal="100" zoomScaleSheetLayoutView="100" workbookViewId="0">
      <pane ySplit="8" topLeftCell="A30" activePane="bottomLeft" state="frozen"/>
      <selection pane="bottomLeft" activeCell="B44" sqref="B44"/>
    </sheetView>
  </sheetViews>
  <sheetFormatPr defaultRowHeight="15" x14ac:dyDescent="0.25"/>
  <cols>
    <col min="1" max="1" width="7.7109375" customWidth="1"/>
    <col min="2" max="2" width="48.140625" style="10" customWidth="1"/>
    <col min="3" max="3" width="8.140625" customWidth="1"/>
    <col min="4" max="4" width="11.28515625" customWidth="1"/>
    <col min="5" max="6" width="14.140625" customWidth="1"/>
    <col min="7" max="7" width="15.7109375" bestFit="1" customWidth="1"/>
    <col min="9" max="9" width="10.140625" customWidth="1"/>
    <col min="10" max="10" width="9.28515625" bestFit="1" customWidth="1"/>
    <col min="11" max="11" width="12.140625" customWidth="1"/>
    <col min="12" max="12" width="13.140625" customWidth="1"/>
    <col min="13" max="13" width="11.42578125" customWidth="1"/>
    <col min="14" max="14" width="10.28515625" bestFit="1" customWidth="1"/>
    <col min="15" max="15" width="12.5703125" customWidth="1"/>
    <col min="16" max="16" width="9.28515625" bestFit="1" customWidth="1"/>
    <col min="17" max="17" width="14.5703125" customWidth="1"/>
    <col min="18" max="20" width="10.5703125" bestFit="1" customWidth="1"/>
  </cols>
  <sheetData>
    <row r="1" spans="1:20" s="1" customFormat="1" ht="12.75" customHeight="1" x14ac:dyDescent="0.2">
      <c r="A1" s="176" t="s">
        <v>70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8"/>
      <c r="M1" s="149" t="s">
        <v>179</v>
      </c>
      <c r="N1" s="150"/>
      <c r="O1" s="150"/>
      <c r="P1" s="151"/>
      <c r="R1" s="2"/>
      <c r="T1" s="3"/>
    </row>
    <row r="2" spans="1:20" s="1" customFormat="1" ht="8.25" customHeight="1" thickBot="1" x14ac:dyDescent="0.25">
      <c r="A2" s="179"/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1"/>
      <c r="M2" s="152"/>
      <c r="N2" s="153"/>
      <c r="O2" s="153"/>
      <c r="P2" s="154"/>
      <c r="R2" s="2"/>
      <c r="T2" s="3"/>
    </row>
    <row r="3" spans="1:20" s="4" customFormat="1" ht="17.25" customHeight="1" x14ac:dyDescent="0.25">
      <c r="A3" s="155" t="s">
        <v>73</v>
      </c>
      <c r="B3" s="156"/>
      <c r="C3" s="156"/>
      <c r="D3" s="159" t="s">
        <v>0</v>
      </c>
      <c r="E3" s="160"/>
      <c r="F3" s="160"/>
      <c r="G3" s="160"/>
      <c r="H3" s="163" t="s">
        <v>71</v>
      </c>
      <c r="I3" s="164"/>
      <c r="J3" s="165" t="s">
        <v>72</v>
      </c>
      <c r="K3" s="166"/>
      <c r="L3" s="167"/>
      <c r="M3" s="168" t="s">
        <v>1</v>
      </c>
      <c r="N3" s="169"/>
      <c r="O3" s="170">
        <v>44634</v>
      </c>
      <c r="P3" s="171"/>
      <c r="R3" s="5"/>
      <c r="T3" s="6"/>
    </row>
    <row r="4" spans="1:20" s="4" customFormat="1" ht="12.75" customHeight="1" thickBot="1" x14ac:dyDescent="0.3">
      <c r="A4" s="157"/>
      <c r="B4" s="158"/>
      <c r="C4" s="158"/>
      <c r="D4" s="161"/>
      <c r="E4" s="162"/>
      <c r="F4" s="162"/>
      <c r="G4" s="162"/>
      <c r="H4" s="163"/>
      <c r="I4" s="164"/>
      <c r="J4" s="165"/>
      <c r="K4" s="166"/>
      <c r="L4" s="167"/>
      <c r="M4" s="172" t="s">
        <v>2</v>
      </c>
      <c r="N4" s="173"/>
      <c r="O4" s="174">
        <v>44998</v>
      </c>
      <c r="P4" s="175"/>
      <c r="Q4" s="58">
        <v>0.15570000000000001</v>
      </c>
      <c r="R4" s="5"/>
      <c r="T4" s="6"/>
    </row>
    <row r="5" spans="1:20" s="4" customFormat="1" ht="43.5" customHeight="1" thickBot="1" x14ac:dyDescent="0.3">
      <c r="A5" s="203" t="s">
        <v>74</v>
      </c>
      <c r="B5" s="204"/>
      <c r="C5" s="205"/>
      <c r="D5" s="206" t="s">
        <v>3</v>
      </c>
      <c r="E5" s="207"/>
      <c r="F5" s="207"/>
      <c r="G5" s="207"/>
      <c r="H5" s="208">
        <v>44687</v>
      </c>
      <c r="I5" s="209"/>
      <c r="J5" s="138" t="s">
        <v>4</v>
      </c>
      <c r="K5" s="210">
        <v>44712</v>
      </c>
      <c r="L5" s="211"/>
      <c r="M5" s="212" t="s">
        <v>5</v>
      </c>
      <c r="N5" s="213"/>
      <c r="O5" s="182" t="s">
        <v>76</v>
      </c>
      <c r="P5" s="183"/>
      <c r="Q5" s="58">
        <v>0.28549999999999998</v>
      </c>
      <c r="R5" s="5"/>
      <c r="T5" s="6"/>
    </row>
    <row r="6" spans="1:20" s="4" customFormat="1" ht="18.75" customHeight="1" thickBot="1" x14ac:dyDescent="0.3">
      <c r="A6" s="184" t="s">
        <v>75</v>
      </c>
      <c r="B6" s="185"/>
      <c r="C6" s="185"/>
      <c r="D6" s="185"/>
      <c r="E6" s="185"/>
      <c r="F6" s="185"/>
      <c r="G6" s="185"/>
      <c r="H6" s="186" t="str">
        <f>K7</f>
        <v>MEDIÇÃO 02</v>
      </c>
      <c r="I6" s="187"/>
      <c r="J6" s="188"/>
      <c r="K6" s="189">
        <f>N72</f>
        <v>70839.478829999993</v>
      </c>
      <c r="L6" s="187"/>
      <c r="M6" s="7" t="s">
        <v>6</v>
      </c>
      <c r="N6" s="8">
        <f>J72</f>
        <v>3.1260058741453892E-2</v>
      </c>
      <c r="O6" s="101" t="s">
        <v>7</v>
      </c>
      <c r="P6" s="9">
        <f>J73</f>
        <v>5.3809310099019306E-2</v>
      </c>
      <c r="R6" s="5"/>
      <c r="T6" s="6"/>
    </row>
    <row r="7" spans="1:20" s="10" customFormat="1" ht="16.5" customHeight="1" x14ac:dyDescent="0.25">
      <c r="A7" s="190" t="s">
        <v>8</v>
      </c>
      <c r="B7" s="191" t="s">
        <v>9</v>
      </c>
      <c r="C7" s="191" t="s">
        <v>10</v>
      </c>
      <c r="D7" s="193" t="s">
        <v>11</v>
      </c>
      <c r="E7" s="195" t="s">
        <v>12</v>
      </c>
      <c r="F7" s="195" t="s">
        <v>175</v>
      </c>
      <c r="G7" s="195" t="s">
        <v>176</v>
      </c>
      <c r="H7" s="197" t="s">
        <v>13</v>
      </c>
      <c r="I7" s="198"/>
      <c r="J7" s="199"/>
      <c r="K7" s="200" t="s">
        <v>180</v>
      </c>
      <c r="L7" s="201"/>
      <c r="M7" s="202"/>
      <c r="N7" s="216" t="s">
        <v>14</v>
      </c>
      <c r="O7" s="217"/>
      <c r="P7" s="218"/>
      <c r="R7" s="11"/>
      <c r="T7" s="12"/>
    </row>
    <row r="8" spans="1:20" s="10" customFormat="1" ht="14.25" customHeight="1" x14ac:dyDescent="0.25">
      <c r="A8" s="190"/>
      <c r="B8" s="192"/>
      <c r="C8" s="192"/>
      <c r="D8" s="194"/>
      <c r="E8" s="196"/>
      <c r="F8" s="196"/>
      <c r="G8" s="196"/>
      <c r="H8" s="13" t="s">
        <v>11</v>
      </c>
      <c r="I8" s="68" t="s">
        <v>15</v>
      </c>
      <c r="J8" s="15" t="s">
        <v>16</v>
      </c>
      <c r="K8" s="13" t="s">
        <v>11</v>
      </c>
      <c r="L8" s="14" t="s">
        <v>15</v>
      </c>
      <c r="M8" s="15" t="s">
        <v>16</v>
      </c>
      <c r="N8" s="16" t="s">
        <v>11</v>
      </c>
      <c r="O8" s="14" t="s">
        <v>15</v>
      </c>
      <c r="P8" s="15" t="s">
        <v>16</v>
      </c>
      <c r="R8" s="17"/>
      <c r="T8" s="12"/>
    </row>
    <row r="9" spans="1:20" x14ac:dyDescent="0.25">
      <c r="A9" s="48" t="s">
        <v>17</v>
      </c>
      <c r="B9" s="49" t="s">
        <v>88</v>
      </c>
      <c r="C9" s="50"/>
      <c r="D9" s="51"/>
      <c r="E9" s="51"/>
      <c r="F9" s="51"/>
      <c r="G9" s="52"/>
      <c r="H9" s="54"/>
      <c r="I9" s="53"/>
      <c r="J9" s="55"/>
      <c r="K9" s="54"/>
      <c r="L9" s="53"/>
      <c r="M9" s="55"/>
      <c r="N9" s="53"/>
      <c r="O9" s="53"/>
      <c r="P9" s="55"/>
      <c r="S9" s="103"/>
      <c r="T9" s="102"/>
    </row>
    <row r="10" spans="1:20" s="59" customFormat="1" x14ac:dyDescent="0.25">
      <c r="A10" s="93" t="s">
        <v>18</v>
      </c>
      <c r="B10" s="72" t="s">
        <v>79</v>
      </c>
      <c r="C10" s="73" t="s">
        <v>80</v>
      </c>
      <c r="D10" s="74">
        <v>12</v>
      </c>
      <c r="E10" s="113">
        <v>307.00668999999999</v>
      </c>
      <c r="F10" s="77">
        <v>359.19099999999997</v>
      </c>
      <c r="G10" s="66">
        <f>F10*(1+$Q$5)</f>
        <v>461.74003049999993</v>
      </c>
      <c r="H10" s="60">
        <v>1</v>
      </c>
      <c r="I10" s="61">
        <f t="shared" ref="I10:I17" si="0">H10*G10</f>
        <v>461.74003049999993</v>
      </c>
      <c r="J10" s="62">
        <f t="shared" ref="J10:J17" si="1">H10/D10</f>
        <v>8.3333333333333329E-2</v>
      </c>
      <c r="K10" s="74">
        <v>1</v>
      </c>
      <c r="L10" s="125">
        <f>K10*G10</f>
        <v>461.74003049999993</v>
      </c>
      <c r="M10" s="62">
        <f t="shared" ref="M10:M17" si="2">K10/D10</f>
        <v>8.3333333333333329E-2</v>
      </c>
      <c r="N10" s="63">
        <f>H10+K10</f>
        <v>2</v>
      </c>
      <c r="O10" s="126">
        <f>I10+L10</f>
        <v>923.48006099999986</v>
      </c>
      <c r="P10" s="64">
        <f>J10+M10</f>
        <v>0.16666666666666666</v>
      </c>
      <c r="S10" s="119"/>
      <c r="T10" s="119"/>
    </row>
    <row r="11" spans="1:20" s="59" customFormat="1" ht="36" x14ac:dyDescent="0.25">
      <c r="A11" s="93" t="s">
        <v>29</v>
      </c>
      <c r="B11" s="75" t="s">
        <v>81</v>
      </c>
      <c r="C11" s="76" t="s">
        <v>80</v>
      </c>
      <c r="D11" s="77">
        <v>12</v>
      </c>
      <c r="E11" s="74">
        <v>444.20531949399935</v>
      </c>
      <c r="F11" s="77">
        <v>519.71199999999999</v>
      </c>
      <c r="G11" s="66">
        <f t="shared" ref="G11:G17" si="3">F11*(1+$Q$5)</f>
        <v>668.08977599999992</v>
      </c>
      <c r="H11" s="60">
        <v>1</v>
      </c>
      <c r="I11" s="61">
        <f t="shared" si="0"/>
        <v>668.08977599999992</v>
      </c>
      <c r="J11" s="62">
        <f t="shared" si="1"/>
        <v>8.3333333333333329E-2</v>
      </c>
      <c r="K11" s="77">
        <v>1</v>
      </c>
      <c r="L11" s="125">
        <f>K11*G11</f>
        <v>668.08977599999992</v>
      </c>
      <c r="M11" s="62">
        <f t="shared" si="2"/>
        <v>8.3333333333333329E-2</v>
      </c>
      <c r="N11" s="63">
        <f t="shared" ref="N11:N17" si="4">H11+K11</f>
        <v>2</v>
      </c>
      <c r="O11" s="126">
        <f t="shared" ref="O11:O15" si="5">I11+L11</f>
        <v>1336.1795519999998</v>
      </c>
      <c r="P11" s="64">
        <f t="shared" ref="P11:P13" si="6">J11+M11</f>
        <v>0.16666666666666666</v>
      </c>
      <c r="Q11" s="59">
        <v>356</v>
      </c>
      <c r="T11" s="121">
        <f>210.07/((1+$Q$5))</f>
        <v>163.41501361338001</v>
      </c>
    </row>
    <row r="12" spans="1:20" s="59" customFormat="1" ht="36" x14ac:dyDescent="0.25">
      <c r="A12" s="93" t="s">
        <v>30</v>
      </c>
      <c r="B12" s="75" t="s">
        <v>82</v>
      </c>
      <c r="C12" s="76" t="s">
        <v>80</v>
      </c>
      <c r="D12" s="77">
        <v>12</v>
      </c>
      <c r="E12" s="74">
        <v>942.5</v>
      </c>
      <c r="F12" s="77">
        <v>1102.7070000000001</v>
      </c>
      <c r="G12" s="66">
        <f t="shared" si="3"/>
        <v>1417.5298485000001</v>
      </c>
      <c r="H12" s="60">
        <v>1</v>
      </c>
      <c r="I12" s="61">
        <f t="shared" si="0"/>
        <v>1417.5298485000001</v>
      </c>
      <c r="J12" s="62">
        <f t="shared" si="1"/>
        <v>8.3333333333333329E-2</v>
      </c>
      <c r="K12" s="77">
        <v>1</v>
      </c>
      <c r="L12" s="125">
        <f>K12*G12</f>
        <v>1417.5298485000001</v>
      </c>
      <c r="M12" s="62">
        <f t="shared" si="2"/>
        <v>8.3333333333333329E-2</v>
      </c>
      <c r="N12" s="63">
        <f t="shared" si="4"/>
        <v>2</v>
      </c>
      <c r="O12" s="126">
        <f t="shared" si="5"/>
        <v>2835.0596970000001</v>
      </c>
      <c r="P12" s="64">
        <f t="shared" si="6"/>
        <v>0.16666666666666666</v>
      </c>
    </row>
    <row r="13" spans="1:20" ht="36" x14ac:dyDescent="0.25">
      <c r="A13" s="93" t="s">
        <v>31</v>
      </c>
      <c r="B13" s="75" t="s">
        <v>83</v>
      </c>
      <c r="C13" s="76" t="s">
        <v>80</v>
      </c>
      <c r="D13" s="77">
        <v>12</v>
      </c>
      <c r="E13" s="74">
        <v>457.76192020758998</v>
      </c>
      <c r="F13" s="77">
        <v>535.57399999999996</v>
      </c>
      <c r="G13" s="66">
        <f t="shared" si="3"/>
        <v>688.48037699999986</v>
      </c>
      <c r="H13" s="60">
        <v>1</v>
      </c>
      <c r="I13" s="61">
        <f t="shared" si="0"/>
        <v>688.48037699999986</v>
      </c>
      <c r="J13" s="62">
        <f t="shared" si="1"/>
        <v>8.3333333333333329E-2</v>
      </c>
      <c r="K13" s="77">
        <v>1</v>
      </c>
      <c r="L13" s="125">
        <f>K13*G13</f>
        <v>688.48037699999986</v>
      </c>
      <c r="M13" s="62">
        <f t="shared" si="2"/>
        <v>8.3333333333333329E-2</v>
      </c>
      <c r="N13" s="63">
        <f t="shared" si="4"/>
        <v>2</v>
      </c>
      <c r="O13" s="126">
        <f t="shared" si="5"/>
        <v>1376.9607539999997</v>
      </c>
      <c r="P13" s="64">
        <f t="shared" si="6"/>
        <v>0.16666666666666666</v>
      </c>
    </row>
    <row r="14" spans="1:20" s="59" customFormat="1" ht="24" x14ac:dyDescent="0.25">
      <c r="A14" s="93" t="s">
        <v>38</v>
      </c>
      <c r="B14" s="75" t="s">
        <v>84</v>
      </c>
      <c r="C14" s="78" t="s">
        <v>42</v>
      </c>
      <c r="D14" s="77">
        <v>1</v>
      </c>
      <c r="E14" s="74">
        <v>1293.9912422964644</v>
      </c>
      <c r="F14" s="77">
        <v>1513.9480000000001</v>
      </c>
      <c r="G14" s="66">
        <f t="shared" si="3"/>
        <v>1946.1801539999999</v>
      </c>
      <c r="H14" s="60">
        <v>1</v>
      </c>
      <c r="I14" s="61">
        <f t="shared" si="0"/>
        <v>1946.1801539999999</v>
      </c>
      <c r="J14" s="62">
        <f t="shared" si="1"/>
        <v>1</v>
      </c>
      <c r="K14" s="77"/>
      <c r="L14" s="125">
        <f>K14*G14</f>
        <v>0</v>
      </c>
      <c r="M14" s="62">
        <f t="shared" si="2"/>
        <v>0</v>
      </c>
      <c r="N14" s="63">
        <f t="shared" si="4"/>
        <v>1</v>
      </c>
      <c r="O14" s="126">
        <f t="shared" si="5"/>
        <v>1946.1801539999999</v>
      </c>
      <c r="P14" s="64">
        <f t="shared" ref="P14:P15" si="7">J14+M14</f>
        <v>1</v>
      </c>
      <c r="Q14" s="59">
        <v>13.1</v>
      </c>
    </row>
    <row r="15" spans="1:20" s="59" customFormat="1" ht="36" x14ac:dyDescent="0.25">
      <c r="A15" s="93" t="s">
        <v>39</v>
      </c>
      <c r="B15" s="75" t="s">
        <v>85</v>
      </c>
      <c r="C15" s="78" t="s">
        <v>28</v>
      </c>
      <c r="D15" s="77">
        <v>15</v>
      </c>
      <c r="E15" s="74">
        <v>22.469591307168344</v>
      </c>
      <c r="F15" s="77">
        <v>26.285</v>
      </c>
      <c r="G15" s="66">
        <f t="shared" si="3"/>
        <v>33.789367499999997</v>
      </c>
      <c r="H15" s="60">
        <v>15</v>
      </c>
      <c r="I15" s="61">
        <f>H15*G15+0.01</f>
        <v>506.85051249999992</v>
      </c>
      <c r="J15" s="62">
        <f t="shared" si="1"/>
        <v>1</v>
      </c>
      <c r="K15" s="77"/>
      <c r="L15" s="125">
        <f>ROUND(K15*G15,6)</f>
        <v>0</v>
      </c>
      <c r="M15" s="62">
        <f t="shared" si="2"/>
        <v>0</v>
      </c>
      <c r="N15" s="63">
        <f t="shared" si="4"/>
        <v>15</v>
      </c>
      <c r="O15" s="126">
        <f t="shared" si="5"/>
        <v>506.85051249999992</v>
      </c>
      <c r="P15" s="64">
        <f t="shared" si="7"/>
        <v>1</v>
      </c>
      <c r="Q15" s="59">
        <v>121.4</v>
      </c>
    </row>
    <row r="16" spans="1:20" s="59" customFormat="1" ht="36" x14ac:dyDescent="0.25">
      <c r="A16" s="93" t="s">
        <v>77</v>
      </c>
      <c r="B16" s="75" t="s">
        <v>86</v>
      </c>
      <c r="C16" s="76" t="s">
        <v>28</v>
      </c>
      <c r="D16" s="77">
        <v>15</v>
      </c>
      <c r="E16" s="74">
        <v>321.62139150178399</v>
      </c>
      <c r="F16" s="77">
        <v>376.28899999999999</v>
      </c>
      <c r="G16" s="66">
        <f t="shared" si="3"/>
        <v>483.71950949999996</v>
      </c>
      <c r="H16" s="60">
        <v>15</v>
      </c>
      <c r="I16" s="61">
        <f>H16*G16+0.01</f>
        <v>7255.8026424999998</v>
      </c>
      <c r="J16" s="62">
        <f t="shared" si="1"/>
        <v>1</v>
      </c>
      <c r="K16" s="77"/>
      <c r="L16" s="125">
        <f>K16*G16</f>
        <v>0</v>
      </c>
      <c r="M16" s="62">
        <f t="shared" si="2"/>
        <v>0</v>
      </c>
      <c r="N16" s="63">
        <f t="shared" si="4"/>
        <v>15</v>
      </c>
      <c r="O16" s="126">
        <f t="shared" ref="O16:O17" si="8">I16+L16</f>
        <v>7255.8026424999998</v>
      </c>
      <c r="P16" s="64">
        <f t="shared" ref="P16:P17" si="9">J16+M16</f>
        <v>1</v>
      </c>
    </row>
    <row r="17" spans="1:19" s="59" customFormat="1" ht="36" x14ac:dyDescent="0.25">
      <c r="A17" s="93" t="s">
        <v>78</v>
      </c>
      <c r="B17" s="75" t="s">
        <v>87</v>
      </c>
      <c r="C17" s="76" t="s">
        <v>40</v>
      </c>
      <c r="D17" s="77">
        <v>24</v>
      </c>
      <c r="E17" s="74">
        <v>139.67726240674668</v>
      </c>
      <c r="F17" s="77">
        <v>163.41499999999999</v>
      </c>
      <c r="G17" s="66">
        <f t="shared" si="3"/>
        <v>210.06998249999998</v>
      </c>
      <c r="H17" s="60">
        <v>24</v>
      </c>
      <c r="I17" s="61">
        <f t="shared" si="0"/>
        <v>5041.67958</v>
      </c>
      <c r="J17" s="62">
        <f t="shared" si="1"/>
        <v>1</v>
      </c>
      <c r="K17" s="77"/>
      <c r="L17" s="125">
        <f>K17*G17</f>
        <v>0</v>
      </c>
      <c r="M17" s="62">
        <f t="shared" si="2"/>
        <v>0</v>
      </c>
      <c r="N17" s="63">
        <f t="shared" si="4"/>
        <v>24</v>
      </c>
      <c r="O17" s="21">
        <f t="shared" si="8"/>
        <v>5041.67958</v>
      </c>
      <c r="P17" s="64">
        <f t="shared" si="9"/>
        <v>1</v>
      </c>
      <c r="Q17"/>
      <c r="R17"/>
    </row>
    <row r="18" spans="1:19" x14ac:dyDescent="0.25">
      <c r="A18" s="94" t="s">
        <v>32</v>
      </c>
      <c r="B18" s="95" t="s">
        <v>102</v>
      </c>
      <c r="C18" s="50"/>
      <c r="D18" s="51"/>
      <c r="E18" s="51"/>
      <c r="F18" s="51"/>
      <c r="G18" s="52"/>
      <c r="H18" s="54"/>
      <c r="I18" s="53"/>
      <c r="J18" s="55"/>
      <c r="K18" s="51"/>
      <c r="L18" s="120"/>
      <c r="M18" s="55"/>
      <c r="N18" s="53"/>
      <c r="O18" s="53"/>
      <c r="P18" s="55"/>
    </row>
    <row r="19" spans="1:19" s="59" customFormat="1" x14ac:dyDescent="0.25">
      <c r="A19" s="93" t="s">
        <v>33</v>
      </c>
      <c r="B19" s="75" t="s">
        <v>89</v>
      </c>
      <c r="C19" s="79" t="s">
        <v>40</v>
      </c>
      <c r="D19" s="80">
        <v>1865.6</v>
      </c>
      <c r="E19" s="74">
        <v>0.85144339928640922</v>
      </c>
      <c r="F19" s="122">
        <v>0.98599999999999999</v>
      </c>
      <c r="G19" s="66">
        <f>TRUNC(F19*(1+$Q$5),2)</f>
        <v>1.26</v>
      </c>
      <c r="H19" s="60">
        <v>1865</v>
      </c>
      <c r="I19" s="61">
        <f t="shared" ref="I19:I27" si="10">H19*G19</f>
        <v>2349.9</v>
      </c>
      <c r="J19" s="62">
        <f t="shared" ref="J19:J27" si="11">H19/D19</f>
        <v>0.99967838765008576</v>
      </c>
      <c r="K19" s="80"/>
      <c r="L19" s="125">
        <f t="shared" ref="L19:L27" si="12">K19*G19</f>
        <v>0</v>
      </c>
      <c r="M19" s="62">
        <f t="shared" ref="M19:M27" si="13">K19/D19</f>
        <v>0</v>
      </c>
      <c r="N19" s="63">
        <f>H19+K19</f>
        <v>1865</v>
      </c>
      <c r="O19" s="126">
        <f>I19+L19</f>
        <v>2349.9</v>
      </c>
      <c r="P19" s="64">
        <f>J19+M19</f>
        <v>0.99967838765008576</v>
      </c>
      <c r="S19" s="121">
        <f>3.61/((1+$Q$5))</f>
        <v>2.8082458187475692</v>
      </c>
    </row>
    <row r="20" spans="1:19" ht="24" x14ac:dyDescent="0.25">
      <c r="A20" s="93" t="s">
        <v>34</v>
      </c>
      <c r="B20" s="75" t="s">
        <v>90</v>
      </c>
      <c r="C20" s="79" t="s">
        <v>41</v>
      </c>
      <c r="D20" s="80">
        <v>2550</v>
      </c>
      <c r="E20" s="74">
        <v>13.657152124554004</v>
      </c>
      <c r="F20" s="122">
        <f>E20*$E$85</f>
        <v>15.801325008108984</v>
      </c>
      <c r="G20" s="66">
        <f t="shared" ref="G20:G29" si="14">TRUNC(F20*(1+$Q$5),2)</f>
        <v>20.309999999999999</v>
      </c>
      <c r="H20" s="60">
        <v>510</v>
      </c>
      <c r="I20" s="61">
        <f t="shared" si="10"/>
        <v>10358.099999999999</v>
      </c>
      <c r="J20" s="62">
        <f t="shared" si="11"/>
        <v>0.2</v>
      </c>
      <c r="K20" s="80">
        <v>1560</v>
      </c>
      <c r="L20" s="125">
        <f t="shared" si="12"/>
        <v>31683.599999999999</v>
      </c>
      <c r="M20" s="62">
        <f t="shared" si="13"/>
        <v>0.61176470588235299</v>
      </c>
      <c r="N20" s="63">
        <f t="shared" ref="N20:N27" si="15">H20+K20</f>
        <v>2070</v>
      </c>
      <c r="O20" s="126">
        <f t="shared" ref="O20:O22" si="16">I20+L20</f>
        <v>42041.7</v>
      </c>
      <c r="P20" s="64">
        <f t="shared" ref="P20:P22" si="17">J20+M20</f>
        <v>0.81176470588235294</v>
      </c>
    </row>
    <row r="21" spans="1:19" s="59" customFormat="1" ht="24" x14ac:dyDescent="0.25">
      <c r="A21" s="93" t="s">
        <v>35</v>
      </c>
      <c r="B21" s="75" t="s">
        <v>91</v>
      </c>
      <c r="C21" s="79" t="s">
        <v>41</v>
      </c>
      <c r="D21" s="80">
        <v>255</v>
      </c>
      <c r="E21" s="74">
        <v>21.899124229646446</v>
      </c>
      <c r="F21" s="122">
        <f t="shared" ref="F21:F27" si="18">E21*$E$85</f>
        <v>25.337286733700939</v>
      </c>
      <c r="G21" s="66">
        <f t="shared" si="14"/>
        <v>32.57</v>
      </c>
      <c r="H21" s="60">
        <v>51</v>
      </c>
      <c r="I21" s="61">
        <f t="shared" si="10"/>
        <v>1661.07</v>
      </c>
      <c r="J21" s="62">
        <f t="shared" si="11"/>
        <v>0.2</v>
      </c>
      <c r="K21" s="80">
        <v>170.28</v>
      </c>
      <c r="L21" s="125">
        <f t="shared" si="12"/>
        <v>5546.0196000000005</v>
      </c>
      <c r="M21" s="62">
        <f t="shared" si="13"/>
        <v>0.66776470588235293</v>
      </c>
      <c r="N21" s="63">
        <f t="shared" si="15"/>
        <v>221.28</v>
      </c>
      <c r="O21" s="126">
        <f t="shared" si="16"/>
        <v>7207.0896000000002</v>
      </c>
      <c r="P21" s="64">
        <f t="shared" si="17"/>
        <v>0.86776470588235299</v>
      </c>
      <c r="Q21">
        <v>22.94</v>
      </c>
      <c r="R21"/>
    </row>
    <row r="22" spans="1:19" s="59" customFormat="1" ht="24" x14ac:dyDescent="0.25">
      <c r="A22" s="93" t="s">
        <v>36</v>
      </c>
      <c r="B22" s="75" t="s">
        <v>92</v>
      </c>
      <c r="C22" s="79" t="s">
        <v>41</v>
      </c>
      <c r="D22" s="80">
        <v>153</v>
      </c>
      <c r="E22" s="74">
        <v>23.6644502108336</v>
      </c>
      <c r="F22" s="122">
        <v>27.375</v>
      </c>
      <c r="G22" s="66">
        <f t="shared" si="14"/>
        <v>35.19</v>
      </c>
      <c r="H22" s="60">
        <v>0</v>
      </c>
      <c r="I22" s="61">
        <f t="shared" si="10"/>
        <v>0</v>
      </c>
      <c r="J22" s="62">
        <f t="shared" si="11"/>
        <v>0</v>
      </c>
      <c r="K22" s="80">
        <v>72.959999999999994</v>
      </c>
      <c r="L22" s="125">
        <f t="shared" si="12"/>
        <v>2567.4623999999994</v>
      </c>
      <c r="M22" s="62">
        <f t="shared" si="13"/>
        <v>0.47686274509803916</v>
      </c>
      <c r="N22" s="63">
        <f t="shared" si="15"/>
        <v>72.959999999999994</v>
      </c>
      <c r="O22" s="126">
        <f t="shared" si="16"/>
        <v>2567.4623999999994</v>
      </c>
      <c r="P22" s="64">
        <f t="shared" si="17"/>
        <v>0.47686274509803916</v>
      </c>
    </row>
    <row r="23" spans="1:19" x14ac:dyDescent="0.25">
      <c r="A23" s="93" t="s">
        <v>37</v>
      </c>
      <c r="B23" s="75" t="s">
        <v>93</v>
      </c>
      <c r="C23" s="79" t="s">
        <v>41</v>
      </c>
      <c r="D23" s="80">
        <v>153</v>
      </c>
      <c r="E23" s="74">
        <v>29.329386960752512</v>
      </c>
      <c r="F23" s="122">
        <f t="shared" si="18"/>
        <v>33.934100713590659</v>
      </c>
      <c r="G23" s="66">
        <f t="shared" si="14"/>
        <v>43.62</v>
      </c>
      <c r="H23" s="60">
        <v>0</v>
      </c>
      <c r="I23" s="61">
        <f t="shared" si="10"/>
        <v>0</v>
      </c>
      <c r="J23" s="62">
        <f t="shared" si="11"/>
        <v>0</v>
      </c>
      <c r="K23" s="80">
        <v>72.959999999999994</v>
      </c>
      <c r="L23" s="125">
        <f t="shared" si="12"/>
        <v>3182.5151999999994</v>
      </c>
      <c r="M23" s="62">
        <f t="shared" si="13"/>
        <v>0.47686274509803916</v>
      </c>
      <c r="N23" s="63">
        <f t="shared" si="15"/>
        <v>72.959999999999994</v>
      </c>
      <c r="O23" s="126">
        <f t="shared" ref="O23:O29" si="19">I23+L23</f>
        <v>3182.5151999999994</v>
      </c>
      <c r="P23" s="64">
        <f t="shared" ref="P23:P29" si="20">J23+M23</f>
        <v>0.47686274509803916</v>
      </c>
    </row>
    <row r="24" spans="1:19" ht="36" x14ac:dyDescent="0.25">
      <c r="A24" s="93" t="s">
        <v>43</v>
      </c>
      <c r="B24" s="75" t="s">
        <v>94</v>
      </c>
      <c r="C24" s="79" t="s">
        <v>40</v>
      </c>
      <c r="D24" s="80">
        <v>1865.6</v>
      </c>
      <c r="E24" s="74">
        <v>6.5504378851767742</v>
      </c>
      <c r="F24" s="122">
        <f t="shared" si="18"/>
        <v>7.5788566331495275</v>
      </c>
      <c r="G24" s="66">
        <f t="shared" si="14"/>
        <v>9.74</v>
      </c>
      <c r="H24" s="60">
        <v>0</v>
      </c>
      <c r="I24" s="61">
        <f t="shared" si="10"/>
        <v>0</v>
      </c>
      <c r="J24" s="62">
        <f t="shared" si="11"/>
        <v>0</v>
      </c>
      <c r="K24" s="80">
        <v>1865.5977</v>
      </c>
      <c r="L24" s="125">
        <f t="shared" si="12"/>
        <v>18170.921598000001</v>
      </c>
      <c r="M24" s="62">
        <f t="shared" si="13"/>
        <v>0.99999876715265867</v>
      </c>
      <c r="N24" s="63">
        <f t="shared" si="15"/>
        <v>1865.5977</v>
      </c>
      <c r="O24" s="126">
        <f t="shared" si="19"/>
        <v>18170.921598000001</v>
      </c>
      <c r="P24" s="64">
        <f t="shared" si="20"/>
        <v>0.99999876715265867</v>
      </c>
    </row>
    <row r="25" spans="1:19" s="59" customFormat="1" ht="24" x14ac:dyDescent="0.25">
      <c r="A25" s="93" t="s">
        <v>44</v>
      </c>
      <c r="B25" s="75" t="s">
        <v>95</v>
      </c>
      <c r="C25" s="79" t="s">
        <v>96</v>
      </c>
      <c r="D25" s="80">
        <v>4080</v>
      </c>
      <c r="E25" s="74">
        <v>15.83279273434966</v>
      </c>
      <c r="F25" s="122">
        <v>18.312000000000001</v>
      </c>
      <c r="G25" s="66">
        <f t="shared" si="14"/>
        <v>23.54</v>
      </c>
      <c r="H25" s="60">
        <v>0</v>
      </c>
      <c r="I25" s="61">
        <f t="shared" si="10"/>
        <v>0</v>
      </c>
      <c r="J25" s="62">
        <f t="shared" si="11"/>
        <v>0</v>
      </c>
      <c r="K25" s="80"/>
      <c r="L25" s="125">
        <f t="shared" si="12"/>
        <v>0</v>
      </c>
      <c r="M25" s="62">
        <f t="shared" si="13"/>
        <v>0</v>
      </c>
      <c r="N25" s="63">
        <f t="shared" si="15"/>
        <v>0</v>
      </c>
      <c r="O25" s="126">
        <f t="shared" si="19"/>
        <v>0</v>
      </c>
      <c r="P25" s="64">
        <f t="shared" si="20"/>
        <v>0</v>
      </c>
    </row>
    <row r="26" spans="1:19" s="59" customFormat="1" ht="24" x14ac:dyDescent="0.25">
      <c r="A26" s="93" t="s">
        <v>45</v>
      </c>
      <c r="B26" s="75" t="s">
        <v>97</v>
      </c>
      <c r="C26" s="79" t="s">
        <v>96</v>
      </c>
      <c r="D26" s="80">
        <v>1591.2</v>
      </c>
      <c r="E26" s="74">
        <v>11.702886798572818</v>
      </c>
      <c r="F26" s="122">
        <v>13.536</v>
      </c>
      <c r="G26" s="66">
        <f t="shared" si="14"/>
        <v>17.399999999999999</v>
      </c>
      <c r="H26" s="60">
        <v>0</v>
      </c>
      <c r="I26" s="61">
        <f t="shared" si="10"/>
        <v>0</v>
      </c>
      <c r="J26" s="62">
        <f t="shared" si="11"/>
        <v>0</v>
      </c>
      <c r="K26" s="80"/>
      <c r="L26" s="125">
        <f t="shared" si="12"/>
        <v>0</v>
      </c>
      <c r="M26" s="62">
        <f t="shared" si="13"/>
        <v>0</v>
      </c>
      <c r="N26" s="63">
        <f t="shared" si="15"/>
        <v>0</v>
      </c>
      <c r="O26" s="126">
        <f t="shared" si="19"/>
        <v>0</v>
      </c>
      <c r="P26" s="64">
        <f t="shared" si="20"/>
        <v>0</v>
      </c>
    </row>
    <row r="27" spans="1:19" ht="36" x14ac:dyDescent="0.25">
      <c r="A27" s="93" t="s">
        <v>46</v>
      </c>
      <c r="B27" s="96" t="s">
        <v>98</v>
      </c>
      <c r="C27" s="79" t="s">
        <v>99</v>
      </c>
      <c r="D27" s="80">
        <v>10197.888000000001</v>
      </c>
      <c r="E27" s="74">
        <v>1.1232</v>
      </c>
      <c r="F27" s="122">
        <f t="shared" si="18"/>
        <v>1.2995424</v>
      </c>
      <c r="G27" s="66">
        <f t="shared" si="14"/>
        <v>1.67</v>
      </c>
      <c r="H27" s="60">
        <v>0</v>
      </c>
      <c r="I27" s="61">
        <f t="shared" si="10"/>
        <v>0</v>
      </c>
      <c r="J27" s="62">
        <f t="shared" si="11"/>
        <v>0</v>
      </c>
      <c r="K27" s="80"/>
      <c r="L27" s="125">
        <f t="shared" si="12"/>
        <v>0</v>
      </c>
      <c r="M27" s="62">
        <f t="shared" si="13"/>
        <v>0</v>
      </c>
      <c r="N27" s="63">
        <f t="shared" si="15"/>
        <v>0</v>
      </c>
      <c r="O27" s="126">
        <f t="shared" si="19"/>
        <v>0</v>
      </c>
      <c r="P27" s="64">
        <f t="shared" si="20"/>
        <v>0</v>
      </c>
    </row>
    <row r="28" spans="1:19" s="59" customFormat="1" x14ac:dyDescent="0.25">
      <c r="A28" s="93" t="s">
        <v>47</v>
      </c>
      <c r="B28" s="75" t="s">
        <v>100</v>
      </c>
      <c r="C28" s="79" t="s">
        <v>41</v>
      </c>
      <c r="D28" s="80">
        <v>2550</v>
      </c>
      <c r="E28" s="74">
        <v>2.432695426532598</v>
      </c>
      <c r="F28" s="122">
        <v>2.8089</v>
      </c>
      <c r="G28" s="66">
        <f t="shared" si="14"/>
        <v>3.61</v>
      </c>
      <c r="H28" s="60">
        <v>0</v>
      </c>
      <c r="I28" s="61">
        <f t="shared" ref="I28:I29" si="21">H28*G28</f>
        <v>0</v>
      </c>
      <c r="J28" s="62">
        <f t="shared" ref="J28:J29" si="22">H28/D28</f>
        <v>0</v>
      </c>
      <c r="K28" s="80"/>
      <c r="L28" s="125">
        <f t="shared" ref="L28:L29" si="23">K28*G28</f>
        <v>0</v>
      </c>
      <c r="M28" s="62">
        <f t="shared" ref="M28:M29" si="24">K28/D28</f>
        <v>0</v>
      </c>
      <c r="N28" s="63">
        <f t="shared" ref="N28:N42" si="25">H28+K28</f>
        <v>0</v>
      </c>
      <c r="O28" s="126">
        <f t="shared" si="19"/>
        <v>0</v>
      </c>
      <c r="P28" s="64">
        <f t="shared" si="20"/>
        <v>0</v>
      </c>
    </row>
    <row r="29" spans="1:19" s="59" customFormat="1" x14ac:dyDescent="0.25">
      <c r="A29" s="93" t="s">
        <v>48</v>
      </c>
      <c r="B29" s="75" t="s">
        <v>101</v>
      </c>
      <c r="C29" s="79" t="s">
        <v>41</v>
      </c>
      <c r="D29" s="80">
        <v>2550</v>
      </c>
      <c r="E29" s="74">
        <v>4.1274732403503078</v>
      </c>
      <c r="F29" s="122">
        <v>4.7690000000000001</v>
      </c>
      <c r="G29" s="66">
        <f t="shared" si="14"/>
        <v>6.13</v>
      </c>
      <c r="H29" s="60">
        <v>0</v>
      </c>
      <c r="I29" s="61">
        <f t="shared" si="21"/>
        <v>0</v>
      </c>
      <c r="J29" s="62">
        <f t="shared" si="22"/>
        <v>0</v>
      </c>
      <c r="K29" s="80"/>
      <c r="L29" s="125">
        <f t="shared" si="23"/>
        <v>0</v>
      </c>
      <c r="M29" s="62">
        <f t="shared" si="24"/>
        <v>0</v>
      </c>
      <c r="N29" s="63">
        <f t="shared" si="25"/>
        <v>0</v>
      </c>
      <c r="O29" s="126">
        <f t="shared" si="19"/>
        <v>0</v>
      </c>
      <c r="P29" s="64">
        <f t="shared" si="20"/>
        <v>0</v>
      </c>
    </row>
    <row r="30" spans="1:19" x14ac:dyDescent="0.25">
      <c r="A30" s="94" t="s">
        <v>49</v>
      </c>
      <c r="B30" s="95" t="s">
        <v>103</v>
      </c>
      <c r="C30" s="50"/>
      <c r="D30" s="51"/>
      <c r="E30" s="51"/>
      <c r="F30" s="51"/>
      <c r="G30" s="52"/>
      <c r="H30" s="54"/>
      <c r="I30" s="53"/>
      <c r="J30" s="55"/>
      <c r="K30" s="51"/>
      <c r="L30" s="120"/>
      <c r="M30" s="55"/>
      <c r="N30" s="53"/>
      <c r="O30" s="53"/>
      <c r="P30" s="55"/>
    </row>
    <row r="31" spans="1:19" ht="24" x14ac:dyDescent="0.25">
      <c r="A31" s="92" t="s">
        <v>50</v>
      </c>
      <c r="B31" s="96" t="s">
        <v>113</v>
      </c>
      <c r="C31" s="79" t="s">
        <v>28</v>
      </c>
      <c r="D31" s="77">
        <v>20</v>
      </c>
      <c r="E31" s="74">
        <v>17.618066818034382</v>
      </c>
      <c r="F31" s="122">
        <f>E31*$E$86</f>
        <v>19.996505838469023</v>
      </c>
      <c r="G31" s="65">
        <f>TRUNC(F31*(1+$Q$5),2)</f>
        <v>25.7</v>
      </c>
      <c r="H31" s="56">
        <v>0</v>
      </c>
      <c r="I31" s="67">
        <f t="shared" ref="I31" si="26">H31*G31</f>
        <v>0</v>
      </c>
      <c r="J31" s="19">
        <f t="shared" ref="J31:J42" si="27">H31/D31</f>
        <v>0</v>
      </c>
      <c r="K31" s="77"/>
      <c r="L31" s="18">
        <f t="shared" ref="L31" si="28">K31*G31</f>
        <v>0</v>
      </c>
      <c r="M31" s="19">
        <f t="shared" ref="M31:M42" si="29">K31/D31</f>
        <v>0</v>
      </c>
      <c r="N31" s="20">
        <f t="shared" si="25"/>
        <v>0</v>
      </c>
      <c r="O31" s="21">
        <f t="shared" ref="O31" si="30">I31+L31</f>
        <v>0</v>
      </c>
      <c r="P31" s="25">
        <f t="shared" ref="P31" si="31">J31+M31</f>
        <v>0</v>
      </c>
    </row>
    <row r="32" spans="1:19" s="59" customFormat="1" ht="24" x14ac:dyDescent="0.25">
      <c r="A32" s="127" t="s">
        <v>51</v>
      </c>
      <c r="B32" s="128" t="s">
        <v>114</v>
      </c>
      <c r="C32" s="84" t="s">
        <v>28</v>
      </c>
      <c r="D32" s="129">
        <v>30</v>
      </c>
      <c r="E32" s="130">
        <v>130.6242</v>
      </c>
      <c r="F32" s="131">
        <f t="shared" ref="F32:F42" si="32">E32*$E$86</f>
        <v>148.258467</v>
      </c>
      <c r="G32" s="65">
        <f>TRUNC(E32*(1+$Q$5),2)</f>
        <v>167.91</v>
      </c>
      <c r="H32" s="56">
        <v>0</v>
      </c>
      <c r="I32" s="132">
        <f t="shared" ref="I32:I42" si="33">H32*G32</f>
        <v>0</v>
      </c>
      <c r="J32" s="133">
        <f t="shared" si="27"/>
        <v>0</v>
      </c>
      <c r="K32" s="129"/>
      <c r="L32" s="18">
        <f t="shared" ref="L32:L42" si="34">K32*G32</f>
        <v>0</v>
      </c>
      <c r="M32" s="133">
        <f t="shared" si="29"/>
        <v>0</v>
      </c>
      <c r="N32" s="134">
        <f t="shared" si="25"/>
        <v>0</v>
      </c>
      <c r="O32" s="21">
        <f t="shared" ref="O32:O42" si="35">I32+L32</f>
        <v>0</v>
      </c>
      <c r="P32" s="135">
        <f t="shared" ref="P32:P42" si="36">J32+M32</f>
        <v>0</v>
      </c>
    </row>
    <row r="33" spans="1:19" s="59" customFormat="1" ht="24" x14ac:dyDescent="0.25">
      <c r="A33" s="93" t="s">
        <v>52</v>
      </c>
      <c r="B33" s="81" t="s">
        <v>115</v>
      </c>
      <c r="C33" s="79" t="s">
        <v>28</v>
      </c>
      <c r="D33" s="77">
        <v>170</v>
      </c>
      <c r="E33" s="74">
        <v>232.08644177748945</v>
      </c>
      <c r="F33" s="122">
        <f>338.61/((1+$Q$5))</f>
        <v>263.40723453908987</v>
      </c>
      <c r="G33" s="66">
        <f t="shared" ref="G33:G42" si="37">TRUNC(F33*(1+$Q$5),2)</f>
        <v>338.61</v>
      </c>
      <c r="H33" s="60">
        <v>0</v>
      </c>
      <c r="I33" s="61">
        <f t="shared" ref="I33:I41" si="38">H33*G33</f>
        <v>0</v>
      </c>
      <c r="J33" s="62">
        <f t="shared" si="27"/>
        <v>0</v>
      </c>
      <c r="K33" s="77"/>
      <c r="L33" s="18">
        <f t="shared" ref="L33:L41" si="39">K33*G33</f>
        <v>0</v>
      </c>
      <c r="M33" s="62">
        <f t="shared" si="29"/>
        <v>0</v>
      </c>
      <c r="N33" s="63">
        <f t="shared" ref="N33:N41" si="40">H33+K33</f>
        <v>0</v>
      </c>
      <c r="O33" s="21">
        <f t="shared" ref="O33:O41" si="41">I33+L33</f>
        <v>0</v>
      </c>
      <c r="P33" s="64">
        <f t="shared" ref="P33:P41" si="42">J33+M33</f>
        <v>0</v>
      </c>
      <c r="S33" s="121">
        <f>2767.48/((1+$Q$5))</f>
        <v>2152.8432516530534</v>
      </c>
    </row>
    <row r="34" spans="1:19" s="59" customFormat="1" ht="24" x14ac:dyDescent="0.25">
      <c r="A34" s="93" t="s">
        <v>104</v>
      </c>
      <c r="B34" s="81" t="s">
        <v>116</v>
      </c>
      <c r="C34" s="79" t="s">
        <v>117</v>
      </c>
      <c r="D34" s="77">
        <v>2</v>
      </c>
      <c r="E34" s="74">
        <v>1896.8070061628284</v>
      </c>
      <c r="F34" s="122">
        <f>2767.48/((1+$Q$5))</f>
        <v>2152.8432516530534</v>
      </c>
      <c r="G34" s="66">
        <f t="shared" si="37"/>
        <v>2767.48</v>
      </c>
      <c r="H34" s="60">
        <v>0</v>
      </c>
      <c r="I34" s="61">
        <f t="shared" si="38"/>
        <v>0</v>
      </c>
      <c r="J34" s="62">
        <f t="shared" si="27"/>
        <v>0</v>
      </c>
      <c r="K34" s="77"/>
      <c r="L34" s="18">
        <f t="shared" si="39"/>
        <v>0</v>
      </c>
      <c r="M34" s="62">
        <f t="shared" si="29"/>
        <v>0</v>
      </c>
      <c r="N34" s="63">
        <f t="shared" si="40"/>
        <v>0</v>
      </c>
      <c r="O34" s="21">
        <f t="shared" si="41"/>
        <v>0</v>
      </c>
      <c r="P34" s="64">
        <f t="shared" si="42"/>
        <v>0</v>
      </c>
    </row>
    <row r="35" spans="1:19" ht="24" x14ac:dyDescent="0.25">
      <c r="A35" s="92" t="s">
        <v>105</v>
      </c>
      <c r="B35" s="81" t="s">
        <v>118</v>
      </c>
      <c r="C35" s="79" t="s">
        <v>117</v>
      </c>
      <c r="D35" s="77">
        <v>2</v>
      </c>
      <c r="E35" s="74">
        <v>182.0692507298086</v>
      </c>
      <c r="F35" s="122">
        <f t="shared" si="32"/>
        <v>206.64859957833278</v>
      </c>
      <c r="G35" s="65">
        <f t="shared" si="37"/>
        <v>265.64</v>
      </c>
      <c r="H35" s="56">
        <v>0</v>
      </c>
      <c r="I35" s="67">
        <f t="shared" si="38"/>
        <v>0</v>
      </c>
      <c r="J35" s="19">
        <f t="shared" si="27"/>
        <v>0</v>
      </c>
      <c r="K35" s="77"/>
      <c r="L35" s="18">
        <f t="shared" si="39"/>
        <v>0</v>
      </c>
      <c r="M35" s="19">
        <f t="shared" si="29"/>
        <v>0</v>
      </c>
      <c r="N35" s="20">
        <f t="shared" si="40"/>
        <v>0</v>
      </c>
      <c r="O35" s="21">
        <f t="shared" si="41"/>
        <v>0</v>
      </c>
      <c r="P35" s="25">
        <f t="shared" si="42"/>
        <v>0</v>
      </c>
    </row>
    <row r="36" spans="1:19" ht="24" x14ac:dyDescent="0.25">
      <c r="A36" s="92" t="s">
        <v>106</v>
      </c>
      <c r="B36" s="81" t="s">
        <v>119</v>
      </c>
      <c r="C36" s="79" t="s">
        <v>28</v>
      </c>
      <c r="D36" s="77">
        <v>20</v>
      </c>
      <c r="E36" s="74">
        <v>88.066493674991875</v>
      </c>
      <c r="F36" s="122">
        <f t="shared" si="32"/>
        <v>99.955470321115783</v>
      </c>
      <c r="G36" s="65">
        <f t="shared" si="37"/>
        <v>128.49</v>
      </c>
      <c r="H36" s="56">
        <v>0</v>
      </c>
      <c r="I36" s="67">
        <f t="shared" si="38"/>
        <v>0</v>
      </c>
      <c r="J36" s="19">
        <f t="shared" si="27"/>
        <v>0</v>
      </c>
      <c r="K36" s="77"/>
      <c r="L36" s="18">
        <f t="shared" si="39"/>
        <v>0</v>
      </c>
      <c r="M36" s="19">
        <f t="shared" si="29"/>
        <v>0</v>
      </c>
      <c r="N36" s="20">
        <f t="shared" si="40"/>
        <v>0</v>
      </c>
      <c r="O36" s="21">
        <f t="shared" si="41"/>
        <v>0</v>
      </c>
      <c r="P36" s="25">
        <f t="shared" si="42"/>
        <v>0</v>
      </c>
    </row>
    <row r="37" spans="1:19" ht="36" x14ac:dyDescent="0.25">
      <c r="A37" s="92" t="s">
        <v>107</v>
      </c>
      <c r="B37" s="81" t="s">
        <v>120</v>
      </c>
      <c r="C37" s="79" t="s">
        <v>40</v>
      </c>
      <c r="D37" s="77">
        <v>340</v>
      </c>
      <c r="E37" s="74">
        <v>26.399286409341549</v>
      </c>
      <c r="F37" s="122">
        <f t="shared" si="32"/>
        <v>29.963190074602657</v>
      </c>
      <c r="G37" s="65">
        <f t="shared" si="37"/>
        <v>38.51</v>
      </c>
      <c r="H37" s="56">
        <v>0</v>
      </c>
      <c r="I37" s="67">
        <f t="shared" si="38"/>
        <v>0</v>
      </c>
      <c r="J37" s="19">
        <f t="shared" si="27"/>
        <v>0</v>
      </c>
      <c r="K37" s="77"/>
      <c r="L37" s="18">
        <f t="shared" si="39"/>
        <v>0</v>
      </c>
      <c r="M37" s="19">
        <f t="shared" si="29"/>
        <v>0</v>
      </c>
      <c r="N37" s="20">
        <f t="shared" si="40"/>
        <v>0</v>
      </c>
      <c r="O37" s="21">
        <f t="shared" si="41"/>
        <v>0</v>
      </c>
      <c r="P37" s="25">
        <f t="shared" si="42"/>
        <v>0</v>
      </c>
    </row>
    <row r="38" spans="1:19" ht="24" x14ac:dyDescent="0.25">
      <c r="A38" s="92" t="s">
        <v>108</v>
      </c>
      <c r="B38" s="81" t="s">
        <v>121</v>
      </c>
      <c r="C38" s="79" t="s">
        <v>41</v>
      </c>
      <c r="D38" s="77">
        <v>51</v>
      </c>
      <c r="E38" s="74">
        <v>84.363282517028864</v>
      </c>
      <c r="F38" s="122">
        <f t="shared" si="32"/>
        <v>95.752325656827765</v>
      </c>
      <c r="G38" s="65">
        <f t="shared" si="37"/>
        <v>123.08</v>
      </c>
      <c r="H38" s="56">
        <v>0</v>
      </c>
      <c r="I38" s="67">
        <f t="shared" si="38"/>
        <v>0</v>
      </c>
      <c r="J38" s="19">
        <f t="shared" si="27"/>
        <v>0</v>
      </c>
      <c r="K38" s="77"/>
      <c r="L38" s="18">
        <f t="shared" si="39"/>
        <v>0</v>
      </c>
      <c r="M38" s="19">
        <f t="shared" si="29"/>
        <v>0</v>
      </c>
      <c r="N38" s="20">
        <f t="shared" si="40"/>
        <v>0</v>
      </c>
      <c r="O38" s="21">
        <f t="shared" si="41"/>
        <v>0</v>
      </c>
      <c r="P38" s="25">
        <f t="shared" si="42"/>
        <v>0</v>
      </c>
    </row>
    <row r="39" spans="1:19" x14ac:dyDescent="0.25">
      <c r="A39" s="92" t="s">
        <v>109</v>
      </c>
      <c r="B39" s="81" t="s">
        <v>122</v>
      </c>
      <c r="C39" s="79" t="s">
        <v>28</v>
      </c>
      <c r="D39" s="77">
        <v>95</v>
      </c>
      <c r="E39" s="74">
        <v>47.299383717158612</v>
      </c>
      <c r="F39" s="122">
        <f t="shared" si="32"/>
        <v>53.684800518975024</v>
      </c>
      <c r="G39" s="65">
        <f t="shared" si="37"/>
        <v>69.010000000000005</v>
      </c>
      <c r="H39" s="56">
        <v>0</v>
      </c>
      <c r="I39" s="67">
        <f t="shared" si="38"/>
        <v>0</v>
      </c>
      <c r="J39" s="19">
        <f t="shared" si="27"/>
        <v>0</v>
      </c>
      <c r="K39" s="77"/>
      <c r="L39" s="18">
        <f t="shared" si="39"/>
        <v>0</v>
      </c>
      <c r="M39" s="19">
        <f t="shared" si="29"/>
        <v>0</v>
      </c>
      <c r="N39" s="20">
        <f t="shared" si="40"/>
        <v>0</v>
      </c>
      <c r="O39" s="21">
        <f t="shared" si="41"/>
        <v>0</v>
      </c>
      <c r="P39" s="25">
        <f t="shared" si="42"/>
        <v>0</v>
      </c>
    </row>
    <row r="40" spans="1:19" x14ac:dyDescent="0.25">
      <c r="A40" s="92" t="s">
        <v>110</v>
      </c>
      <c r="B40" s="81" t="s">
        <v>123</v>
      </c>
      <c r="C40" s="79" t="s">
        <v>40</v>
      </c>
      <c r="D40" s="77">
        <v>142.5</v>
      </c>
      <c r="E40" s="74">
        <v>40.520759000973079</v>
      </c>
      <c r="F40" s="122">
        <f t="shared" si="32"/>
        <v>45.991061466104448</v>
      </c>
      <c r="G40" s="65">
        <f t="shared" si="37"/>
        <v>59.12</v>
      </c>
      <c r="H40" s="56">
        <v>0</v>
      </c>
      <c r="I40" s="67">
        <f t="shared" si="38"/>
        <v>0</v>
      </c>
      <c r="J40" s="19">
        <f t="shared" si="27"/>
        <v>0</v>
      </c>
      <c r="K40" s="77"/>
      <c r="L40" s="18">
        <f t="shared" si="39"/>
        <v>0</v>
      </c>
      <c r="M40" s="19">
        <f t="shared" si="29"/>
        <v>0</v>
      </c>
      <c r="N40" s="20">
        <f t="shared" si="40"/>
        <v>0</v>
      </c>
      <c r="O40" s="21">
        <f t="shared" si="41"/>
        <v>0</v>
      </c>
      <c r="P40" s="25">
        <f t="shared" si="42"/>
        <v>0</v>
      </c>
    </row>
    <row r="41" spans="1:19" ht="24" x14ac:dyDescent="0.25">
      <c r="A41" s="92" t="s">
        <v>111</v>
      </c>
      <c r="B41" s="81" t="s">
        <v>124</v>
      </c>
      <c r="C41" s="79" t="s">
        <v>40</v>
      </c>
      <c r="D41" s="80">
        <v>185.25</v>
      </c>
      <c r="E41" s="74">
        <v>28.457508919883232</v>
      </c>
      <c r="F41" s="122">
        <f t="shared" si="32"/>
        <v>32.29927262406747</v>
      </c>
      <c r="G41" s="65">
        <f t="shared" si="37"/>
        <v>41.52</v>
      </c>
      <c r="H41" s="56">
        <v>0</v>
      </c>
      <c r="I41" s="67">
        <f t="shared" si="38"/>
        <v>0</v>
      </c>
      <c r="J41" s="19">
        <f t="shared" si="27"/>
        <v>0</v>
      </c>
      <c r="K41" s="80"/>
      <c r="L41" s="18">
        <f t="shared" si="39"/>
        <v>0</v>
      </c>
      <c r="M41" s="19">
        <f t="shared" si="29"/>
        <v>0</v>
      </c>
      <c r="N41" s="20">
        <f t="shared" si="40"/>
        <v>0</v>
      </c>
      <c r="O41" s="21">
        <f t="shared" si="41"/>
        <v>0</v>
      </c>
      <c r="P41" s="25">
        <f t="shared" si="42"/>
        <v>0</v>
      </c>
    </row>
    <row r="42" spans="1:19" ht="24" x14ac:dyDescent="0.25">
      <c r="A42" s="92" t="s">
        <v>112</v>
      </c>
      <c r="B42" s="81" t="s">
        <v>125</v>
      </c>
      <c r="C42" s="79" t="s">
        <v>40</v>
      </c>
      <c r="D42" s="80">
        <v>559.67999999999995</v>
      </c>
      <c r="E42" s="74">
        <v>3.6396367174829707</v>
      </c>
      <c r="F42" s="122">
        <f t="shared" si="32"/>
        <v>4.1309876743431717</v>
      </c>
      <c r="G42" s="65">
        <f t="shared" si="37"/>
        <v>5.31</v>
      </c>
      <c r="H42" s="56">
        <v>0</v>
      </c>
      <c r="I42" s="67">
        <f t="shared" si="33"/>
        <v>0</v>
      </c>
      <c r="J42" s="19">
        <f t="shared" si="27"/>
        <v>0</v>
      </c>
      <c r="K42" s="80"/>
      <c r="L42" s="18">
        <f t="shared" si="34"/>
        <v>0</v>
      </c>
      <c r="M42" s="19">
        <f t="shared" si="29"/>
        <v>0</v>
      </c>
      <c r="N42" s="20">
        <f t="shared" si="25"/>
        <v>0</v>
      </c>
      <c r="O42" s="21">
        <f t="shared" si="35"/>
        <v>0</v>
      </c>
      <c r="P42" s="25">
        <f t="shared" si="36"/>
        <v>0</v>
      </c>
    </row>
    <row r="43" spans="1:19" x14ac:dyDescent="0.25">
      <c r="A43" s="94" t="s">
        <v>53</v>
      </c>
      <c r="B43" s="95" t="s">
        <v>126</v>
      </c>
      <c r="C43" s="50"/>
      <c r="D43" s="51"/>
      <c r="E43" s="51"/>
      <c r="F43" s="51"/>
      <c r="G43" s="52"/>
      <c r="H43" s="54"/>
      <c r="I43" s="53"/>
      <c r="J43" s="55"/>
      <c r="K43" s="51"/>
      <c r="L43" s="120"/>
      <c r="M43" s="55"/>
      <c r="N43" s="53"/>
      <c r="O43" s="53"/>
      <c r="P43" s="55"/>
    </row>
    <row r="44" spans="1:19" s="59" customFormat="1" x14ac:dyDescent="0.25">
      <c r="A44" s="93" t="s">
        <v>54</v>
      </c>
      <c r="B44" s="82" t="s">
        <v>128</v>
      </c>
      <c r="C44" s="79" t="s">
        <v>40</v>
      </c>
      <c r="D44" s="80">
        <v>8</v>
      </c>
      <c r="E44" s="74">
        <v>540.02189425883887</v>
      </c>
      <c r="F44" s="122">
        <f>806.64/((1+$Q$5))</f>
        <v>627.4912485414236</v>
      </c>
      <c r="G44" s="66">
        <f>TRUNC(F44*(1+$Q$5),2)</f>
        <v>806.64</v>
      </c>
      <c r="H44" s="60">
        <v>0</v>
      </c>
      <c r="I44" s="61">
        <f t="shared" ref="I44" si="43">H44*G44</f>
        <v>0</v>
      </c>
      <c r="J44" s="62">
        <f>H44/D44</f>
        <v>0</v>
      </c>
      <c r="K44" s="80">
        <v>8</v>
      </c>
      <c r="L44" s="18">
        <f t="shared" ref="L44" si="44">K44*G44</f>
        <v>6453.12</v>
      </c>
      <c r="M44" s="62">
        <f>K44/D44</f>
        <v>1</v>
      </c>
      <c r="N44" s="63">
        <f t="shared" ref="N44:N68" si="45">H44+K44</f>
        <v>8</v>
      </c>
      <c r="O44" s="18">
        <f t="shared" ref="O44" si="46">I44+L44</f>
        <v>6453.12</v>
      </c>
      <c r="P44" s="64">
        <f t="shared" ref="P44" si="47">J44+M44</f>
        <v>1</v>
      </c>
      <c r="R44" s="121">
        <f>559.82/((1+$Q$5))</f>
        <v>435.48813691170761</v>
      </c>
    </row>
    <row r="45" spans="1:19" ht="36.75" x14ac:dyDescent="0.25">
      <c r="A45" s="92" t="s">
        <v>56</v>
      </c>
      <c r="B45" s="97" t="s">
        <v>129</v>
      </c>
      <c r="C45" s="79" t="s">
        <v>40</v>
      </c>
      <c r="D45" s="80">
        <v>340</v>
      </c>
      <c r="E45" s="74">
        <v>36.913720402205641</v>
      </c>
      <c r="F45" s="122">
        <f t="shared" ref="F45:F46" si="48">E45*$E$89</f>
        <v>42.893743107362951</v>
      </c>
      <c r="G45" s="66">
        <f t="shared" ref="G45:G46" si="49">TRUNC(F45*(1+$Q$5),2)</f>
        <v>55.13</v>
      </c>
      <c r="H45" s="56">
        <v>340</v>
      </c>
      <c r="I45" s="67">
        <f t="shared" ref="I45:I46" si="50">H45*G45</f>
        <v>18744.2</v>
      </c>
      <c r="J45" s="19">
        <f>H45/D45</f>
        <v>1</v>
      </c>
      <c r="K45" s="80"/>
      <c r="L45" s="18">
        <f t="shared" ref="L45:L46" si="51">K45*G45</f>
        <v>0</v>
      </c>
      <c r="M45" s="19">
        <f>K45/D45</f>
        <v>0</v>
      </c>
      <c r="N45" s="20">
        <f t="shared" si="45"/>
        <v>340</v>
      </c>
      <c r="O45" s="21">
        <f t="shared" ref="O45:O46" si="52">I45+L45</f>
        <v>18744.2</v>
      </c>
      <c r="P45" s="25">
        <f t="shared" ref="P45:P46" si="53">J45+M45</f>
        <v>1</v>
      </c>
    </row>
    <row r="46" spans="1:19" ht="24.75" x14ac:dyDescent="0.25">
      <c r="A46" s="92" t="s">
        <v>127</v>
      </c>
      <c r="B46" s="97" t="s">
        <v>130</v>
      </c>
      <c r="C46" s="79" t="s">
        <v>28</v>
      </c>
      <c r="D46" s="80">
        <v>170</v>
      </c>
      <c r="E46" s="74">
        <v>15.917126175802789</v>
      </c>
      <c r="F46" s="122">
        <f t="shared" si="48"/>
        <v>18.495700616282839</v>
      </c>
      <c r="G46" s="66">
        <f t="shared" si="49"/>
        <v>23.77</v>
      </c>
      <c r="H46" s="56">
        <v>0</v>
      </c>
      <c r="I46" s="67">
        <f t="shared" si="50"/>
        <v>0</v>
      </c>
      <c r="J46" s="19">
        <f>H46/D46</f>
        <v>0</v>
      </c>
      <c r="K46" s="80"/>
      <c r="L46" s="18">
        <f t="shared" si="51"/>
        <v>0</v>
      </c>
      <c r="M46" s="19">
        <f>K46/D46</f>
        <v>0</v>
      </c>
      <c r="N46" s="20">
        <f t="shared" si="45"/>
        <v>0</v>
      </c>
      <c r="O46" s="21">
        <f t="shared" si="52"/>
        <v>0</v>
      </c>
      <c r="P46" s="25">
        <f t="shared" si="53"/>
        <v>0</v>
      </c>
    </row>
    <row r="47" spans="1:19" x14ac:dyDescent="0.25">
      <c r="A47" s="94" t="s">
        <v>57</v>
      </c>
      <c r="B47" s="95" t="s">
        <v>131</v>
      </c>
      <c r="C47" s="50"/>
      <c r="D47" s="51"/>
      <c r="E47" s="51"/>
      <c r="F47" s="51"/>
      <c r="G47" s="52"/>
      <c r="H47" s="54"/>
      <c r="I47" s="53"/>
      <c r="J47" s="55"/>
      <c r="K47" s="51"/>
      <c r="L47" s="120"/>
      <c r="M47" s="55"/>
      <c r="N47" s="53"/>
      <c r="O47" s="53"/>
      <c r="P47" s="55"/>
    </row>
    <row r="48" spans="1:19" s="136" customFormat="1" x14ac:dyDescent="0.25">
      <c r="A48" s="93" t="s">
        <v>58</v>
      </c>
      <c r="B48" s="75" t="s">
        <v>132</v>
      </c>
      <c r="C48" s="79" t="s">
        <v>41</v>
      </c>
      <c r="D48" s="80">
        <v>96</v>
      </c>
      <c r="E48" s="74">
        <v>364.12828413882579</v>
      </c>
      <c r="F48" s="122">
        <f>559.82/((1+$Q$5))</f>
        <v>435.48813691170761</v>
      </c>
      <c r="G48" s="66">
        <f>TRUNC(F48*(1+$Q$5),2)</f>
        <v>559.82000000000005</v>
      </c>
      <c r="H48" s="60">
        <v>0</v>
      </c>
      <c r="I48" s="61">
        <f t="shared" ref="I48" si="54">H48*G48</f>
        <v>0</v>
      </c>
      <c r="J48" s="62">
        <f t="shared" ref="J48:J54" si="55">H48/D48</f>
        <v>0</v>
      </c>
      <c r="K48" s="80"/>
      <c r="L48" s="18">
        <f t="shared" ref="L48:L54" si="56">K48*G48</f>
        <v>0</v>
      </c>
      <c r="M48" s="62">
        <f t="shared" ref="M48:M54" si="57">K48/D48</f>
        <v>0</v>
      </c>
      <c r="N48" s="63">
        <f t="shared" si="45"/>
        <v>0</v>
      </c>
      <c r="O48" s="21">
        <f t="shared" ref="O48:O54" si="58">I48+L48</f>
        <v>0</v>
      </c>
      <c r="P48" s="64">
        <f t="shared" ref="P48" si="59">J48+M48</f>
        <v>0</v>
      </c>
      <c r="Q48" s="136">
        <v>71.86</v>
      </c>
    </row>
    <row r="49" spans="1:18" ht="24" x14ac:dyDescent="0.25">
      <c r="A49" s="92" t="s">
        <v>59</v>
      </c>
      <c r="B49" s="75" t="s">
        <v>124</v>
      </c>
      <c r="C49" s="79" t="s">
        <v>40</v>
      </c>
      <c r="D49" s="80">
        <v>2080</v>
      </c>
      <c r="E49" s="74">
        <v>27.586360687641907</v>
      </c>
      <c r="F49" s="122">
        <f t="shared" ref="F49:F68" si="60">E49*$E$88</f>
        <v>32.993287382419716</v>
      </c>
      <c r="G49" s="66">
        <f t="shared" ref="G49:G68" si="61">TRUNC(F49*(1+$Q$5),2)</f>
        <v>42.41</v>
      </c>
      <c r="H49" s="56">
        <v>0</v>
      </c>
      <c r="I49" s="67">
        <f t="shared" ref="I49:I54" si="62">H49*G49</f>
        <v>0</v>
      </c>
      <c r="J49" s="19">
        <f t="shared" si="55"/>
        <v>0</v>
      </c>
      <c r="K49" s="80"/>
      <c r="L49" s="18">
        <f t="shared" si="56"/>
        <v>0</v>
      </c>
      <c r="M49" s="19">
        <f t="shared" si="57"/>
        <v>0</v>
      </c>
      <c r="N49" s="20">
        <f t="shared" si="45"/>
        <v>0</v>
      </c>
      <c r="O49" s="21">
        <f t="shared" si="58"/>
        <v>0</v>
      </c>
      <c r="P49" s="25">
        <f t="shared" ref="P49:P54" si="63">J49+M49</f>
        <v>0</v>
      </c>
    </row>
    <row r="50" spans="1:18" x14ac:dyDescent="0.25">
      <c r="A50" s="92" t="s">
        <v>60</v>
      </c>
      <c r="B50" s="83" t="s">
        <v>133</v>
      </c>
      <c r="C50" s="84" t="s">
        <v>41</v>
      </c>
      <c r="D50" s="85">
        <v>21.878665919999996</v>
      </c>
      <c r="E50" s="74">
        <v>223.965</v>
      </c>
      <c r="F50" s="122">
        <f t="shared" si="60"/>
        <v>267.86214000000001</v>
      </c>
      <c r="G50" s="66">
        <f t="shared" si="61"/>
        <v>344.33</v>
      </c>
      <c r="H50" s="56">
        <v>0</v>
      </c>
      <c r="I50" s="67">
        <f t="shared" si="62"/>
        <v>0</v>
      </c>
      <c r="J50" s="19">
        <f t="shared" si="55"/>
        <v>0</v>
      </c>
      <c r="K50" s="85"/>
      <c r="L50" s="18">
        <f t="shared" si="56"/>
        <v>0</v>
      </c>
      <c r="M50" s="19">
        <f t="shared" si="57"/>
        <v>0</v>
      </c>
      <c r="N50" s="20">
        <f t="shared" si="45"/>
        <v>0</v>
      </c>
      <c r="O50" s="21">
        <f t="shared" si="58"/>
        <v>0</v>
      </c>
      <c r="P50" s="25">
        <f t="shared" si="63"/>
        <v>0</v>
      </c>
    </row>
    <row r="51" spans="1:18" x14ac:dyDescent="0.25">
      <c r="A51" s="92" t="s">
        <v>61</v>
      </c>
      <c r="B51" s="75" t="s">
        <v>134</v>
      </c>
      <c r="C51" s="79" t="s">
        <v>28</v>
      </c>
      <c r="D51" s="80">
        <v>959.5</v>
      </c>
      <c r="E51" s="74">
        <v>18.470645475186505</v>
      </c>
      <c r="F51" s="122">
        <f t="shared" si="60"/>
        <v>22.090891988323058</v>
      </c>
      <c r="G51" s="66">
        <f t="shared" si="61"/>
        <v>28.39</v>
      </c>
      <c r="H51" s="56">
        <v>0</v>
      </c>
      <c r="I51" s="67">
        <f t="shared" si="62"/>
        <v>0</v>
      </c>
      <c r="J51" s="19">
        <f t="shared" si="55"/>
        <v>0</v>
      </c>
      <c r="K51" s="80"/>
      <c r="L51" s="18">
        <f t="shared" si="56"/>
        <v>0</v>
      </c>
      <c r="M51" s="19">
        <f t="shared" si="57"/>
        <v>0</v>
      </c>
      <c r="N51" s="20">
        <f t="shared" si="45"/>
        <v>0</v>
      </c>
      <c r="O51" s="21">
        <f t="shared" si="58"/>
        <v>0</v>
      </c>
      <c r="P51" s="25">
        <f t="shared" si="63"/>
        <v>0</v>
      </c>
    </row>
    <row r="52" spans="1:18" ht="24" x14ac:dyDescent="0.25">
      <c r="A52" s="92" t="s">
        <v>62</v>
      </c>
      <c r="B52" s="86" t="s">
        <v>135</v>
      </c>
      <c r="C52" s="87" t="s">
        <v>40</v>
      </c>
      <c r="D52" s="80">
        <v>144.0866</v>
      </c>
      <c r="E52" s="74">
        <v>6.2199156665585464</v>
      </c>
      <c r="F52" s="122">
        <f t="shared" si="60"/>
        <v>7.4390191372040215</v>
      </c>
      <c r="G52" s="66">
        <f t="shared" si="61"/>
        <v>9.56</v>
      </c>
      <c r="H52" s="56">
        <v>0</v>
      </c>
      <c r="I52" s="67">
        <f t="shared" si="62"/>
        <v>0</v>
      </c>
      <c r="J52" s="19">
        <f t="shared" si="55"/>
        <v>0</v>
      </c>
      <c r="K52" s="80"/>
      <c r="L52" s="18">
        <f t="shared" si="56"/>
        <v>0</v>
      </c>
      <c r="M52" s="19">
        <f t="shared" si="57"/>
        <v>0</v>
      </c>
      <c r="N52" s="20">
        <f t="shared" si="45"/>
        <v>0</v>
      </c>
      <c r="O52" s="21">
        <f t="shared" si="58"/>
        <v>0</v>
      </c>
      <c r="P52" s="25">
        <f t="shared" si="63"/>
        <v>0</v>
      </c>
    </row>
    <row r="53" spans="1:18" ht="24" x14ac:dyDescent="0.25">
      <c r="A53" s="92" t="s">
        <v>63</v>
      </c>
      <c r="B53" s="86" t="s">
        <v>136</v>
      </c>
      <c r="C53" s="87" t="s">
        <v>41</v>
      </c>
      <c r="D53" s="80">
        <v>14.0625</v>
      </c>
      <c r="E53" s="74">
        <v>82.641582873824191</v>
      </c>
      <c r="F53" s="122">
        <f t="shared" si="60"/>
        <v>98.83933311709373</v>
      </c>
      <c r="G53" s="66">
        <f t="shared" si="61"/>
        <v>127.05</v>
      </c>
      <c r="H53" s="56">
        <v>0</v>
      </c>
      <c r="I53" s="67">
        <f t="shared" si="62"/>
        <v>0</v>
      </c>
      <c r="J53" s="19">
        <f t="shared" si="55"/>
        <v>0</v>
      </c>
      <c r="K53" s="80"/>
      <c r="L53" s="18">
        <f t="shared" si="56"/>
        <v>0</v>
      </c>
      <c r="M53" s="19">
        <f t="shared" si="57"/>
        <v>0</v>
      </c>
      <c r="N53" s="20">
        <f t="shared" si="45"/>
        <v>0</v>
      </c>
      <c r="O53" s="21">
        <f t="shared" si="58"/>
        <v>0</v>
      </c>
      <c r="P53" s="25">
        <f t="shared" si="63"/>
        <v>0</v>
      </c>
    </row>
    <row r="54" spans="1:18" ht="36" x14ac:dyDescent="0.25">
      <c r="A54" s="92" t="s">
        <v>64</v>
      </c>
      <c r="B54" s="88" t="s">
        <v>137</v>
      </c>
      <c r="C54" s="89" t="s">
        <v>28</v>
      </c>
      <c r="D54" s="80">
        <v>2700</v>
      </c>
      <c r="E54" s="74">
        <v>38.313599999999994</v>
      </c>
      <c r="F54" s="122">
        <f>E54*E94</f>
        <v>41.531942399999998</v>
      </c>
      <c r="G54" s="66">
        <f t="shared" si="61"/>
        <v>53.38</v>
      </c>
      <c r="H54" s="56">
        <v>0</v>
      </c>
      <c r="I54" s="67">
        <f t="shared" si="62"/>
        <v>0</v>
      </c>
      <c r="J54" s="19">
        <f t="shared" si="55"/>
        <v>0</v>
      </c>
      <c r="K54" s="80"/>
      <c r="L54" s="18">
        <f t="shared" si="56"/>
        <v>0</v>
      </c>
      <c r="M54" s="19">
        <f t="shared" si="57"/>
        <v>0</v>
      </c>
      <c r="N54" s="20">
        <f t="shared" si="45"/>
        <v>0</v>
      </c>
      <c r="O54" s="21">
        <f t="shared" si="58"/>
        <v>0</v>
      </c>
      <c r="P54" s="25">
        <f t="shared" si="63"/>
        <v>0</v>
      </c>
    </row>
    <row r="55" spans="1:18" x14ac:dyDescent="0.25">
      <c r="A55" s="94" t="s">
        <v>65</v>
      </c>
      <c r="B55" s="95" t="s">
        <v>138</v>
      </c>
      <c r="C55" s="50"/>
      <c r="D55" s="51"/>
      <c r="E55" s="51"/>
      <c r="F55" s="51"/>
      <c r="G55" s="52"/>
      <c r="H55" s="54"/>
      <c r="I55" s="53"/>
      <c r="J55" s="55"/>
      <c r="K55" s="51"/>
      <c r="L55" s="120"/>
      <c r="M55" s="55"/>
      <c r="N55" s="53"/>
      <c r="O55" s="53"/>
      <c r="P55" s="55"/>
    </row>
    <row r="56" spans="1:18" ht="24" x14ac:dyDescent="0.25">
      <c r="A56" s="92" t="s">
        <v>66</v>
      </c>
      <c r="B56" s="75" t="s">
        <v>148</v>
      </c>
      <c r="C56" s="79" t="s">
        <v>40</v>
      </c>
      <c r="D56" s="90">
        <v>1020</v>
      </c>
      <c r="E56" s="74">
        <v>40.61385014596172</v>
      </c>
      <c r="F56" s="122">
        <f t="shared" si="60"/>
        <v>48.574164774570214</v>
      </c>
      <c r="G56" s="66">
        <f t="shared" si="61"/>
        <v>62.44</v>
      </c>
      <c r="H56" s="56">
        <v>0</v>
      </c>
      <c r="I56" s="67">
        <f t="shared" ref="I56" si="64">H56*G56</f>
        <v>0</v>
      </c>
      <c r="J56" s="19">
        <f t="shared" ref="J56:J68" si="65">H56/D56</f>
        <v>0</v>
      </c>
      <c r="K56" s="90"/>
      <c r="L56" s="18">
        <f t="shared" ref="L56" si="66">K56*G56</f>
        <v>0</v>
      </c>
      <c r="M56" s="19">
        <f t="shared" ref="M56:M68" si="67">K56/D56</f>
        <v>0</v>
      </c>
      <c r="N56" s="20">
        <f t="shared" si="45"/>
        <v>0</v>
      </c>
      <c r="O56" s="21">
        <f t="shared" ref="O56" si="68">I56+L56</f>
        <v>0</v>
      </c>
      <c r="P56" s="25">
        <f t="shared" ref="P56" si="69">J56+M56</f>
        <v>0</v>
      </c>
    </row>
    <row r="57" spans="1:18" ht="36" x14ac:dyDescent="0.25">
      <c r="A57" s="92" t="s">
        <v>67</v>
      </c>
      <c r="B57" s="75" t="s">
        <v>149</v>
      </c>
      <c r="C57" s="79" t="s">
        <v>40</v>
      </c>
      <c r="D57" s="90">
        <v>51</v>
      </c>
      <c r="E57" s="74">
        <v>136.54313979889719</v>
      </c>
      <c r="F57" s="122">
        <f t="shared" si="60"/>
        <v>163.30559519948102</v>
      </c>
      <c r="G57" s="66">
        <f t="shared" si="61"/>
        <v>209.92</v>
      </c>
      <c r="H57" s="56">
        <v>0</v>
      </c>
      <c r="I57" s="67">
        <f t="shared" ref="I57:I59" si="70">H57*G57</f>
        <v>0</v>
      </c>
      <c r="J57" s="19">
        <f t="shared" si="65"/>
        <v>0</v>
      </c>
      <c r="K57" s="90"/>
      <c r="L57" s="18">
        <f t="shared" ref="L57:L59" si="71">K57*G57</f>
        <v>0</v>
      </c>
      <c r="M57" s="19">
        <f t="shared" si="67"/>
        <v>0</v>
      </c>
      <c r="N57" s="20">
        <f t="shared" si="45"/>
        <v>0</v>
      </c>
      <c r="O57" s="21">
        <f t="shared" ref="O57:O59" si="72">I57+L57</f>
        <v>0</v>
      </c>
      <c r="P57" s="25">
        <f t="shared" ref="P57:P59" si="73">J57+M57</f>
        <v>0</v>
      </c>
    </row>
    <row r="58" spans="1:18" s="59" customFormat="1" ht="24" x14ac:dyDescent="0.25">
      <c r="A58" s="93" t="s">
        <v>68</v>
      </c>
      <c r="B58" s="91" t="s">
        <v>150</v>
      </c>
      <c r="C58" s="79" t="s">
        <v>41</v>
      </c>
      <c r="D58" s="90">
        <v>226.36</v>
      </c>
      <c r="E58" s="74">
        <v>412.38241972105084</v>
      </c>
      <c r="F58" s="122">
        <f>634.01/((1+$Q$5))</f>
        <v>493.20108907040066</v>
      </c>
      <c r="G58" s="66">
        <f t="shared" si="61"/>
        <v>634.01</v>
      </c>
      <c r="H58" s="60">
        <v>0</v>
      </c>
      <c r="I58" s="61">
        <f t="shared" si="70"/>
        <v>0</v>
      </c>
      <c r="J58" s="62">
        <f t="shared" si="65"/>
        <v>0</v>
      </c>
      <c r="K58" s="90"/>
      <c r="L58" s="18">
        <f t="shared" si="71"/>
        <v>0</v>
      </c>
      <c r="M58" s="62">
        <f t="shared" si="67"/>
        <v>0</v>
      </c>
      <c r="N58" s="63">
        <f t="shared" si="45"/>
        <v>0</v>
      </c>
      <c r="O58" s="21">
        <f t="shared" si="72"/>
        <v>0</v>
      </c>
      <c r="P58" s="64">
        <f t="shared" si="73"/>
        <v>0</v>
      </c>
      <c r="R58" s="136">
        <v>71.86</v>
      </c>
    </row>
    <row r="59" spans="1:18" ht="24" x14ac:dyDescent="0.25">
      <c r="A59" s="93" t="s">
        <v>69</v>
      </c>
      <c r="B59" s="75" t="s">
        <v>151</v>
      </c>
      <c r="C59" s="79" t="s">
        <v>28</v>
      </c>
      <c r="D59" s="90">
        <v>170</v>
      </c>
      <c r="E59" s="74">
        <v>58.605254622121315</v>
      </c>
      <c r="F59" s="122">
        <f t="shared" si="60"/>
        <v>70.091884528057093</v>
      </c>
      <c r="G59" s="66">
        <f t="shared" si="61"/>
        <v>90.1</v>
      </c>
      <c r="H59" s="60">
        <v>0</v>
      </c>
      <c r="I59" s="61">
        <f t="shared" si="70"/>
        <v>0</v>
      </c>
      <c r="J59" s="62">
        <f t="shared" si="65"/>
        <v>0</v>
      </c>
      <c r="K59" s="90"/>
      <c r="L59" s="18">
        <f t="shared" si="71"/>
        <v>0</v>
      </c>
      <c r="M59" s="62">
        <f t="shared" si="67"/>
        <v>0</v>
      </c>
      <c r="N59" s="63">
        <f t="shared" si="45"/>
        <v>0</v>
      </c>
      <c r="O59" s="21">
        <f t="shared" si="72"/>
        <v>0</v>
      </c>
      <c r="P59" s="64">
        <f t="shared" si="73"/>
        <v>0</v>
      </c>
    </row>
    <row r="60" spans="1:18" ht="36" x14ac:dyDescent="0.25">
      <c r="A60" s="93" t="s">
        <v>139</v>
      </c>
      <c r="B60" s="75" t="s">
        <v>152</v>
      </c>
      <c r="C60" s="79" t="s">
        <v>28</v>
      </c>
      <c r="D60" s="90">
        <v>1020</v>
      </c>
      <c r="E60" s="74">
        <v>11.606389879987026</v>
      </c>
      <c r="F60" s="122">
        <f t="shared" si="60"/>
        <v>13.881242296464482</v>
      </c>
      <c r="G60" s="66">
        <f t="shared" si="61"/>
        <v>17.84</v>
      </c>
      <c r="H60" s="60">
        <v>0</v>
      </c>
      <c r="I60" s="61">
        <f t="shared" ref="I60" si="74">H60*G60</f>
        <v>0</v>
      </c>
      <c r="J60" s="62">
        <f t="shared" si="65"/>
        <v>0</v>
      </c>
      <c r="K60" s="90"/>
      <c r="L60" s="18">
        <f t="shared" ref="L60" si="75">K60*G60</f>
        <v>0</v>
      </c>
      <c r="M60" s="62">
        <f t="shared" si="67"/>
        <v>0</v>
      </c>
      <c r="N60" s="63">
        <f t="shared" si="45"/>
        <v>0</v>
      </c>
      <c r="O60" s="21">
        <f t="shared" ref="O60" si="76">I60+L60</f>
        <v>0</v>
      </c>
      <c r="P60" s="64">
        <f t="shared" ref="P60" si="77">J60+M60</f>
        <v>0</v>
      </c>
      <c r="R60" s="121">
        <f>634.79/((1+$Q$5))</f>
        <v>493.8078568650331</v>
      </c>
    </row>
    <row r="61" spans="1:18" ht="24" x14ac:dyDescent="0.25">
      <c r="A61" s="93" t="s">
        <v>140</v>
      </c>
      <c r="B61" s="75" t="s">
        <v>153</v>
      </c>
      <c r="C61" s="79" t="s">
        <v>55</v>
      </c>
      <c r="D61" s="90">
        <v>13404</v>
      </c>
      <c r="E61" s="74">
        <v>7.9609957833279275</v>
      </c>
      <c r="F61" s="122">
        <f t="shared" si="60"/>
        <v>9.5213509568602017</v>
      </c>
      <c r="G61" s="66">
        <f t="shared" si="61"/>
        <v>12.23</v>
      </c>
      <c r="H61" s="60">
        <v>0</v>
      </c>
      <c r="I61" s="61">
        <f t="shared" ref="I61:I68" si="78">H61*G61</f>
        <v>0</v>
      </c>
      <c r="J61" s="62">
        <f t="shared" si="65"/>
        <v>0</v>
      </c>
      <c r="K61" s="90"/>
      <c r="L61" s="18">
        <f t="shared" ref="L61:L68" si="79">K61*G61</f>
        <v>0</v>
      </c>
      <c r="M61" s="62">
        <f t="shared" si="67"/>
        <v>0</v>
      </c>
      <c r="N61" s="63">
        <f t="shared" si="45"/>
        <v>0</v>
      </c>
      <c r="O61" s="21">
        <f t="shared" ref="O61:O68" si="80">I61+L61</f>
        <v>0</v>
      </c>
      <c r="P61" s="64">
        <f t="shared" ref="P61:P68" si="81">J61+M61</f>
        <v>0</v>
      </c>
    </row>
    <row r="62" spans="1:18" x14ac:dyDescent="0.25">
      <c r="A62" s="93" t="s">
        <v>141</v>
      </c>
      <c r="B62" s="75" t="s">
        <v>154</v>
      </c>
      <c r="C62" s="79" t="s">
        <v>117</v>
      </c>
      <c r="D62" s="90">
        <v>93</v>
      </c>
      <c r="E62" s="74">
        <v>437.14239377229973</v>
      </c>
      <c r="F62" s="122">
        <f t="shared" si="60"/>
        <v>522.82230295167051</v>
      </c>
      <c r="G62" s="66">
        <f t="shared" si="61"/>
        <v>672.08</v>
      </c>
      <c r="H62" s="60">
        <v>0</v>
      </c>
      <c r="I62" s="61">
        <f t="shared" si="78"/>
        <v>0</v>
      </c>
      <c r="J62" s="62">
        <f t="shared" si="65"/>
        <v>0</v>
      </c>
      <c r="K62" s="90"/>
      <c r="L62" s="18">
        <f t="shared" si="79"/>
        <v>0</v>
      </c>
      <c r="M62" s="62">
        <f t="shared" si="67"/>
        <v>0</v>
      </c>
      <c r="N62" s="63">
        <f t="shared" si="45"/>
        <v>0</v>
      </c>
      <c r="O62" s="21">
        <f t="shared" si="80"/>
        <v>0</v>
      </c>
      <c r="P62" s="64">
        <f t="shared" si="81"/>
        <v>0</v>
      </c>
    </row>
    <row r="63" spans="1:18" ht="36" x14ac:dyDescent="0.25">
      <c r="A63" s="93" t="s">
        <v>142</v>
      </c>
      <c r="B63" s="75" t="s">
        <v>155</v>
      </c>
      <c r="C63" s="79" t="s">
        <v>28</v>
      </c>
      <c r="D63" s="90">
        <v>1108.5</v>
      </c>
      <c r="E63" s="74">
        <v>132.40350308141419</v>
      </c>
      <c r="F63" s="122">
        <f t="shared" si="60"/>
        <v>158.35458968537137</v>
      </c>
      <c r="G63" s="66">
        <f t="shared" si="61"/>
        <v>203.56</v>
      </c>
      <c r="H63" s="60">
        <v>0</v>
      </c>
      <c r="I63" s="61">
        <f t="shared" si="78"/>
        <v>0</v>
      </c>
      <c r="J63" s="62">
        <f t="shared" si="65"/>
        <v>0</v>
      </c>
      <c r="K63" s="90"/>
      <c r="L63" s="18">
        <f t="shared" si="79"/>
        <v>0</v>
      </c>
      <c r="M63" s="62">
        <f t="shared" si="67"/>
        <v>0</v>
      </c>
      <c r="N63" s="63">
        <f t="shared" si="45"/>
        <v>0</v>
      </c>
      <c r="O63" s="21">
        <f t="shared" si="80"/>
        <v>0</v>
      </c>
      <c r="P63" s="64">
        <f t="shared" si="81"/>
        <v>0</v>
      </c>
    </row>
    <row r="64" spans="1:18" ht="24" x14ac:dyDescent="0.25">
      <c r="A64" s="93" t="s">
        <v>143</v>
      </c>
      <c r="B64" s="75" t="s">
        <v>156</v>
      </c>
      <c r="C64" s="79" t="s">
        <v>157</v>
      </c>
      <c r="D64" s="90">
        <v>136.07322468750002</v>
      </c>
      <c r="E64" s="74">
        <v>28.971780733052221</v>
      </c>
      <c r="F64" s="122">
        <f t="shared" si="60"/>
        <v>34.650249756730453</v>
      </c>
      <c r="G64" s="66">
        <f t="shared" si="61"/>
        <v>44.54</v>
      </c>
      <c r="H64" s="60">
        <v>0</v>
      </c>
      <c r="I64" s="61">
        <f t="shared" ref="I64:I67" si="82">H64*G64</f>
        <v>0</v>
      </c>
      <c r="J64" s="62">
        <f t="shared" si="65"/>
        <v>0</v>
      </c>
      <c r="K64" s="90"/>
      <c r="L64" s="18">
        <f t="shared" ref="L64:L67" si="83">K64*G64</f>
        <v>0</v>
      </c>
      <c r="M64" s="62">
        <f t="shared" si="67"/>
        <v>0</v>
      </c>
      <c r="N64" s="63">
        <f t="shared" ref="N64:N67" si="84">H64+K64</f>
        <v>0</v>
      </c>
      <c r="O64" s="21">
        <f t="shared" ref="O64:O67" si="85">I64+L64</f>
        <v>0</v>
      </c>
      <c r="P64" s="64">
        <f t="shared" ref="P64:P67" si="86">J64+M64</f>
        <v>0</v>
      </c>
    </row>
    <row r="65" spans="1:20" s="59" customFormat="1" ht="36" x14ac:dyDescent="0.25">
      <c r="A65" s="93" t="s">
        <v>144</v>
      </c>
      <c r="B65" s="75" t="s">
        <v>158</v>
      </c>
      <c r="C65" s="79" t="s">
        <v>28</v>
      </c>
      <c r="D65" s="90">
        <v>922.5</v>
      </c>
      <c r="E65" s="74">
        <v>412.89125851443401</v>
      </c>
      <c r="F65" s="122">
        <f>634.79/((1+$Q$5))</f>
        <v>493.8078568650331</v>
      </c>
      <c r="G65" s="66">
        <f t="shared" si="61"/>
        <v>634.79</v>
      </c>
      <c r="H65" s="60">
        <v>0</v>
      </c>
      <c r="I65" s="61">
        <f t="shared" si="82"/>
        <v>0</v>
      </c>
      <c r="J65" s="62">
        <f t="shared" si="65"/>
        <v>0</v>
      </c>
      <c r="K65" s="90"/>
      <c r="L65" s="18">
        <f t="shared" si="83"/>
        <v>0</v>
      </c>
      <c r="M65" s="62">
        <f t="shared" si="67"/>
        <v>0</v>
      </c>
      <c r="N65" s="63">
        <f t="shared" si="84"/>
        <v>0</v>
      </c>
      <c r="O65" s="21">
        <f t="shared" si="85"/>
        <v>0</v>
      </c>
      <c r="P65" s="64">
        <f t="shared" si="86"/>
        <v>0</v>
      </c>
    </row>
    <row r="66" spans="1:20" ht="24" x14ac:dyDescent="0.25">
      <c r="A66" s="92" t="s">
        <v>145</v>
      </c>
      <c r="B66" s="75" t="s">
        <v>159</v>
      </c>
      <c r="C66" s="79" t="s">
        <v>40</v>
      </c>
      <c r="D66" s="90">
        <v>765</v>
      </c>
      <c r="E66" s="74">
        <v>2.3159260460590332</v>
      </c>
      <c r="F66" s="122">
        <f t="shared" si="60"/>
        <v>2.7698475510866034</v>
      </c>
      <c r="G66" s="66">
        <f t="shared" si="61"/>
        <v>3.56</v>
      </c>
      <c r="H66" s="56">
        <v>0</v>
      </c>
      <c r="I66" s="67">
        <f t="shared" si="82"/>
        <v>0</v>
      </c>
      <c r="J66" s="19">
        <f t="shared" si="65"/>
        <v>0</v>
      </c>
      <c r="K66" s="90"/>
      <c r="L66" s="18">
        <f t="shared" si="83"/>
        <v>0</v>
      </c>
      <c r="M66" s="19">
        <f t="shared" si="67"/>
        <v>0</v>
      </c>
      <c r="N66" s="20">
        <f t="shared" si="84"/>
        <v>0</v>
      </c>
      <c r="O66" s="21">
        <f t="shared" si="85"/>
        <v>0</v>
      </c>
      <c r="P66" s="25">
        <f t="shared" si="86"/>
        <v>0</v>
      </c>
    </row>
    <row r="67" spans="1:20" ht="24" x14ac:dyDescent="0.25">
      <c r="A67" s="92" t="s">
        <v>146</v>
      </c>
      <c r="B67" s="75" t="s">
        <v>160</v>
      </c>
      <c r="C67" s="79" t="s">
        <v>41</v>
      </c>
      <c r="D67" s="90">
        <v>1275</v>
      </c>
      <c r="E67" s="74">
        <v>13.8284138825819</v>
      </c>
      <c r="F67" s="122">
        <f t="shared" si="60"/>
        <v>16.538783003567954</v>
      </c>
      <c r="G67" s="66">
        <f t="shared" si="61"/>
        <v>21.26</v>
      </c>
      <c r="H67" s="56">
        <v>0</v>
      </c>
      <c r="I67" s="67">
        <f t="shared" si="82"/>
        <v>0</v>
      </c>
      <c r="J67" s="19">
        <f t="shared" si="65"/>
        <v>0</v>
      </c>
      <c r="K67" s="90"/>
      <c r="L67" s="18">
        <f t="shared" si="83"/>
        <v>0</v>
      </c>
      <c r="M67" s="19">
        <f t="shared" si="67"/>
        <v>0</v>
      </c>
      <c r="N67" s="20">
        <f t="shared" si="84"/>
        <v>0</v>
      </c>
      <c r="O67" s="21">
        <f t="shared" si="85"/>
        <v>0</v>
      </c>
      <c r="P67" s="25">
        <f t="shared" si="86"/>
        <v>0</v>
      </c>
    </row>
    <row r="68" spans="1:20" ht="24" x14ac:dyDescent="0.25">
      <c r="A68" s="92" t="s">
        <v>147</v>
      </c>
      <c r="B68" s="75" t="s">
        <v>161</v>
      </c>
      <c r="C68" s="79" t="s">
        <v>28</v>
      </c>
      <c r="D68" s="90">
        <v>1108.5</v>
      </c>
      <c r="E68" s="74">
        <v>93.459292896529348</v>
      </c>
      <c r="F68" s="122">
        <f t="shared" si="60"/>
        <v>111.7773143042491</v>
      </c>
      <c r="G68" s="66">
        <f t="shared" si="61"/>
        <v>143.68</v>
      </c>
      <c r="H68" s="56">
        <v>0</v>
      </c>
      <c r="I68" s="67">
        <f t="shared" si="78"/>
        <v>0</v>
      </c>
      <c r="J68" s="19">
        <f t="shared" si="65"/>
        <v>0</v>
      </c>
      <c r="K68" s="90"/>
      <c r="L68" s="18">
        <f t="shared" si="79"/>
        <v>0</v>
      </c>
      <c r="M68" s="19">
        <f t="shared" si="67"/>
        <v>0</v>
      </c>
      <c r="N68" s="20">
        <f t="shared" si="45"/>
        <v>0</v>
      </c>
      <c r="O68" s="21">
        <f t="shared" si="80"/>
        <v>0</v>
      </c>
      <c r="P68" s="25">
        <f t="shared" si="81"/>
        <v>0</v>
      </c>
    </row>
    <row r="69" spans="1:20" ht="15.75" thickBot="1" x14ac:dyDescent="0.3">
      <c r="A69" s="219" t="s">
        <v>19</v>
      </c>
      <c r="B69" s="219"/>
      <c r="C69" s="50"/>
      <c r="D69" s="51"/>
      <c r="E69" s="51"/>
      <c r="F69" s="51"/>
      <c r="G69" s="52"/>
      <c r="H69" s="98"/>
      <c r="I69" s="137">
        <f>SUM(I10:I68)</f>
        <v>51099.622921000002</v>
      </c>
      <c r="J69" s="100"/>
      <c r="K69" s="98"/>
      <c r="L69" s="137">
        <f>SUM(L10:L68)</f>
        <v>70839.478829999993</v>
      </c>
      <c r="M69" s="100"/>
      <c r="N69" s="99"/>
      <c r="O69" s="137">
        <f>SUM(O10:O68)</f>
        <v>121939.10175099999</v>
      </c>
      <c r="P69" s="100"/>
    </row>
    <row r="70" spans="1:20" ht="15.75" thickBot="1" x14ac:dyDescent="0.3">
      <c r="A70" s="220"/>
      <c r="B70" s="221"/>
      <c r="C70" s="221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3"/>
    </row>
    <row r="71" spans="1:20" s="10" customFormat="1" ht="15.75" customHeight="1" thickBot="1" x14ac:dyDescent="0.3">
      <c r="A71" s="224" t="s">
        <v>20</v>
      </c>
      <c r="B71" s="225"/>
      <c r="C71" s="225">
        <v>2266133.9</v>
      </c>
      <c r="D71" s="226"/>
      <c r="E71" s="57"/>
      <c r="F71" s="57"/>
      <c r="G71" s="227" t="s">
        <v>21</v>
      </c>
      <c r="H71" s="228"/>
      <c r="I71" s="228"/>
      <c r="J71" s="228"/>
      <c r="K71" s="228"/>
      <c r="L71" s="228" t="s">
        <v>22</v>
      </c>
      <c r="M71" s="228"/>
      <c r="N71" s="228"/>
      <c r="O71" s="228"/>
      <c r="P71" s="229"/>
      <c r="Q71"/>
      <c r="R71"/>
      <c r="T71" s="12"/>
    </row>
    <row r="72" spans="1:20" s="10" customFormat="1" ht="16.5" customHeight="1" thickBot="1" x14ac:dyDescent="0.3">
      <c r="A72" s="230"/>
      <c r="B72" s="231"/>
      <c r="C72" s="232"/>
      <c r="D72" s="232"/>
      <c r="E72" s="45"/>
      <c r="F72" s="71"/>
      <c r="G72" s="23" t="s">
        <v>23</v>
      </c>
      <c r="H72" s="233" t="str">
        <f>K7</f>
        <v>MEDIÇÃO 02</v>
      </c>
      <c r="I72" s="234"/>
      <c r="J72" s="235">
        <f>L69/C71</f>
        <v>3.1260058741453892E-2</v>
      </c>
      <c r="K72" s="235"/>
      <c r="L72" s="236" t="str">
        <f>K7</f>
        <v>MEDIÇÃO 02</v>
      </c>
      <c r="M72" s="236"/>
      <c r="N72" s="214">
        <f>L69</f>
        <v>70839.478829999993</v>
      </c>
      <c r="O72" s="214"/>
      <c r="P72" s="215"/>
      <c r="Q72"/>
      <c r="R72"/>
      <c r="T72" s="12"/>
    </row>
    <row r="73" spans="1:20" s="10" customFormat="1" x14ac:dyDescent="0.25">
      <c r="A73" s="250"/>
      <c r="B73" s="251"/>
      <c r="C73" s="251"/>
      <c r="D73" s="251"/>
      <c r="E73" s="46"/>
      <c r="F73" s="69"/>
      <c r="G73" s="197" t="s">
        <v>24</v>
      </c>
      <c r="H73" s="198"/>
      <c r="I73" s="198"/>
      <c r="J73" s="240">
        <f>O69/C71</f>
        <v>5.3809310099019306E-2</v>
      </c>
      <c r="K73" s="240"/>
      <c r="L73" s="198" t="s">
        <v>25</v>
      </c>
      <c r="M73" s="198"/>
      <c r="N73" s="241">
        <f>O69</f>
        <v>121939.10175099999</v>
      </c>
      <c r="O73" s="241"/>
      <c r="P73" s="242"/>
      <c r="Q73"/>
      <c r="R73"/>
      <c r="T73" s="12"/>
    </row>
    <row r="74" spans="1:20" s="10" customFormat="1" ht="15.75" thickBot="1" x14ac:dyDescent="0.3">
      <c r="A74" s="250"/>
      <c r="B74" s="251"/>
      <c r="C74" s="251"/>
      <c r="D74" s="251"/>
      <c r="E74" s="46"/>
      <c r="F74" s="69"/>
      <c r="G74" s="248" t="s">
        <v>26</v>
      </c>
      <c r="H74" s="237"/>
      <c r="I74" s="237"/>
      <c r="J74" s="249">
        <f>100%-J73</f>
        <v>0.94619068990098065</v>
      </c>
      <c r="K74" s="249"/>
      <c r="L74" s="237" t="s">
        <v>27</v>
      </c>
      <c r="M74" s="237"/>
      <c r="N74" s="238">
        <f>C71-N73</f>
        <v>2144194.7982489998</v>
      </c>
      <c r="O74" s="237"/>
      <c r="P74" s="239"/>
      <c r="Q74"/>
      <c r="R74"/>
      <c r="T74" s="12"/>
    </row>
    <row r="75" spans="1:20" x14ac:dyDescent="0.25">
      <c r="A75" s="250"/>
      <c r="B75" s="251"/>
      <c r="C75" s="251"/>
      <c r="D75" s="251"/>
      <c r="E75" s="46"/>
      <c r="F75" s="69"/>
      <c r="G75" s="26"/>
      <c r="H75" s="27"/>
      <c r="I75" s="26"/>
      <c r="J75" s="26"/>
      <c r="K75" s="28"/>
      <c r="L75" s="29"/>
      <c r="M75" s="28"/>
      <c r="N75" s="30"/>
      <c r="O75" s="31"/>
      <c r="P75" s="32"/>
      <c r="T75" s="24"/>
    </row>
    <row r="76" spans="1:20" x14ac:dyDescent="0.25">
      <c r="A76" s="252"/>
      <c r="B76" s="253"/>
      <c r="C76" s="253"/>
      <c r="D76" s="253"/>
      <c r="E76" s="47"/>
      <c r="F76" s="70"/>
      <c r="G76" s="26"/>
      <c r="H76" s="27"/>
      <c r="I76" s="26"/>
      <c r="J76" s="26"/>
      <c r="K76" s="28"/>
      <c r="L76" s="29"/>
      <c r="M76" s="28"/>
      <c r="N76" s="30"/>
      <c r="O76" s="31"/>
      <c r="P76" s="32"/>
      <c r="R76" s="22"/>
      <c r="T76" s="24"/>
    </row>
    <row r="77" spans="1:20" x14ac:dyDescent="0.25">
      <c r="A77" s="33"/>
      <c r="B77" s="34"/>
      <c r="C77" s="35"/>
      <c r="D77" s="26"/>
      <c r="E77" s="26"/>
      <c r="F77" s="26"/>
      <c r="G77" s="26"/>
      <c r="H77" s="27"/>
      <c r="I77" s="26"/>
      <c r="J77" s="26"/>
      <c r="K77" s="28"/>
      <c r="L77" s="29"/>
      <c r="M77" s="28"/>
      <c r="N77" s="30"/>
      <c r="O77" s="31"/>
      <c r="P77" s="32"/>
      <c r="R77" s="22"/>
      <c r="T77" s="24"/>
    </row>
    <row r="78" spans="1:20" ht="15.75" x14ac:dyDescent="0.25">
      <c r="A78" s="33"/>
      <c r="B78" s="34"/>
      <c r="C78" s="35"/>
      <c r="D78" s="26"/>
      <c r="E78" s="26"/>
      <c r="F78" s="26"/>
      <c r="G78" s="246" t="s">
        <v>162</v>
      </c>
      <c r="H78" s="246"/>
      <c r="I78" s="246"/>
      <c r="J78" s="246"/>
      <c r="K78" s="246"/>
      <c r="L78" s="29"/>
      <c r="M78" s="28"/>
      <c r="N78" s="30"/>
      <c r="O78" s="31"/>
      <c r="P78" s="32"/>
      <c r="R78" s="22"/>
      <c r="T78" s="24"/>
    </row>
    <row r="79" spans="1:20" ht="16.5" thickBot="1" x14ac:dyDescent="0.3">
      <c r="A79" s="36"/>
      <c r="B79" s="37"/>
      <c r="C79" s="38"/>
      <c r="D79" s="39"/>
      <c r="E79" s="39"/>
      <c r="F79" s="39"/>
      <c r="G79" s="247" t="s">
        <v>163</v>
      </c>
      <c r="H79" s="247"/>
      <c r="I79" s="247"/>
      <c r="J79" s="247"/>
      <c r="K79" s="247"/>
      <c r="L79" s="40"/>
      <c r="M79" s="41"/>
      <c r="N79" s="42"/>
      <c r="O79" s="43"/>
      <c r="P79" s="44"/>
      <c r="R79" s="22"/>
      <c r="T79" s="24"/>
    </row>
    <row r="83" spans="2:6" x14ac:dyDescent="0.25">
      <c r="B83" s="104" t="s">
        <v>164</v>
      </c>
      <c r="C83" s="243" t="s">
        <v>165</v>
      </c>
      <c r="D83" s="244"/>
      <c r="E83" s="245"/>
      <c r="F83" s="123"/>
    </row>
    <row r="84" spans="2:6" x14ac:dyDescent="0.25">
      <c r="B84" s="105" t="s">
        <v>166</v>
      </c>
      <c r="C84" s="106">
        <v>44136</v>
      </c>
      <c r="D84" s="107">
        <v>44440</v>
      </c>
      <c r="E84" s="107" t="s">
        <v>167</v>
      </c>
      <c r="F84" s="124"/>
    </row>
    <row r="85" spans="2:6" x14ac:dyDescent="0.25">
      <c r="B85" s="108" t="s">
        <v>168</v>
      </c>
      <c r="C85" s="108">
        <v>331.62200000000001</v>
      </c>
      <c r="D85" s="109">
        <v>383.88600000000002</v>
      </c>
      <c r="E85" s="109">
        <v>1.157</v>
      </c>
      <c r="F85" s="111"/>
    </row>
    <row r="86" spans="2:6" x14ac:dyDescent="0.25">
      <c r="B86" s="108" t="s">
        <v>169</v>
      </c>
      <c r="C86" s="108">
        <v>337.87799999999999</v>
      </c>
      <c r="D86" s="109">
        <v>383.70499999999998</v>
      </c>
      <c r="E86" s="109">
        <v>1.135</v>
      </c>
      <c r="F86" s="111"/>
    </row>
    <row r="87" spans="2:6" x14ac:dyDescent="0.25">
      <c r="B87" s="108" t="s">
        <v>170</v>
      </c>
      <c r="C87" s="108">
        <v>341.54899999999998</v>
      </c>
      <c r="D87" s="109">
        <v>388.80700000000002</v>
      </c>
      <c r="E87" s="109">
        <v>1.1379999999999999</v>
      </c>
      <c r="F87" s="111"/>
    </row>
    <row r="88" spans="2:6" x14ac:dyDescent="0.25">
      <c r="B88" s="108" t="s">
        <v>171</v>
      </c>
      <c r="C88" s="108">
        <v>352.25099999999998</v>
      </c>
      <c r="D88" s="109">
        <v>421.46</v>
      </c>
      <c r="E88" s="109">
        <v>1.196</v>
      </c>
      <c r="F88" s="111"/>
    </row>
    <row r="89" spans="2:6" x14ac:dyDescent="0.25">
      <c r="B89" s="108" t="s">
        <v>172</v>
      </c>
      <c r="C89" s="108">
        <v>204.27799999999999</v>
      </c>
      <c r="D89" s="109">
        <v>237.55</v>
      </c>
      <c r="E89" s="109">
        <v>1.1619999999999999</v>
      </c>
      <c r="F89" s="111"/>
    </row>
    <row r="90" spans="2:6" x14ac:dyDescent="0.25">
      <c r="B90" s="108" t="s">
        <v>173</v>
      </c>
      <c r="C90" s="108">
        <v>118.205</v>
      </c>
      <c r="D90" s="109">
        <v>138.33699999999999</v>
      </c>
      <c r="E90" s="109">
        <v>1.17</v>
      </c>
      <c r="F90" s="111"/>
    </row>
    <row r="91" spans="2:6" x14ac:dyDescent="0.25">
      <c r="B91" s="110" t="s">
        <v>174</v>
      </c>
      <c r="C91" s="110"/>
      <c r="D91" s="111"/>
      <c r="E91" s="111"/>
      <c r="F91" s="111"/>
    </row>
    <row r="92" spans="2:6" x14ac:dyDescent="0.25">
      <c r="B92" s="112"/>
      <c r="C92" s="113"/>
      <c r="D92" s="114"/>
      <c r="E92" s="115"/>
      <c r="F92" s="115"/>
    </row>
    <row r="93" spans="2:6" x14ac:dyDescent="0.25">
      <c r="B93" s="116" t="s">
        <v>166</v>
      </c>
      <c r="C93" s="117">
        <v>44287</v>
      </c>
      <c r="D93" s="117">
        <v>44440</v>
      </c>
      <c r="E93" s="107" t="s">
        <v>167</v>
      </c>
      <c r="F93" s="124"/>
    </row>
    <row r="94" spans="2:6" x14ac:dyDescent="0.25">
      <c r="B94" s="108" t="s">
        <v>171</v>
      </c>
      <c r="C94" s="118">
        <v>388.65699999999998</v>
      </c>
      <c r="D94" s="109">
        <v>421.46</v>
      </c>
      <c r="E94" s="109">
        <f>TRUNC(D94/C94,3)</f>
        <v>1.0840000000000001</v>
      </c>
      <c r="F94" s="111"/>
    </row>
  </sheetData>
  <mergeCells count="54">
    <mergeCell ref="C83:E83"/>
    <mergeCell ref="F7:F8"/>
    <mergeCell ref="G78:K78"/>
    <mergeCell ref="G79:K79"/>
    <mergeCell ref="G74:I74"/>
    <mergeCell ref="J74:K74"/>
    <mergeCell ref="A73:D75"/>
    <mergeCell ref="A76:D76"/>
    <mergeCell ref="L74:M74"/>
    <mergeCell ref="N74:P74"/>
    <mergeCell ref="G73:I73"/>
    <mergeCell ref="J73:K73"/>
    <mergeCell ref="L73:M73"/>
    <mergeCell ref="N73:P73"/>
    <mergeCell ref="N72:P72"/>
    <mergeCell ref="N7:P7"/>
    <mergeCell ref="A69:B69"/>
    <mergeCell ref="A70:P70"/>
    <mergeCell ref="A71:B71"/>
    <mergeCell ref="C71:D71"/>
    <mergeCell ref="G71:K71"/>
    <mergeCell ref="L71:P71"/>
    <mergeCell ref="A72:B72"/>
    <mergeCell ref="C72:D72"/>
    <mergeCell ref="H72:I72"/>
    <mergeCell ref="J72:K72"/>
    <mergeCell ref="L72:M72"/>
    <mergeCell ref="E7:E8"/>
    <mergeCell ref="O5:P5"/>
    <mergeCell ref="A6:G6"/>
    <mergeCell ref="H6:J6"/>
    <mergeCell ref="K6:L6"/>
    <mergeCell ref="A7:A8"/>
    <mergeCell ref="B7:B8"/>
    <mergeCell ref="C7:C8"/>
    <mergeCell ref="D7:D8"/>
    <mergeCell ref="G7:G8"/>
    <mergeCell ref="H7:J7"/>
    <mergeCell ref="K7:M7"/>
    <mergeCell ref="A5:C5"/>
    <mergeCell ref="D5:G5"/>
    <mergeCell ref="H5:I5"/>
    <mergeCell ref="K5:L5"/>
    <mergeCell ref="M5:N5"/>
    <mergeCell ref="M1:P2"/>
    <mergeCell ref="A3:C4"/>
    <mergeCell ref="D3:G4"/>
    <mergeCell ref="H3:I4"/>
    <mergeCell ref="J3:L4"/>
    <mergeCell ref="M3:N3"/>
    <mergeCell ref="O3:P3"/>
    <mergeCell ref="M4:N4"/>
    <mergeCell ref="O4:P4"/>
    <mergeCell ref="A1:L2"/>
  </mergeCells>
  <phoneticPr fontId="8" type="noConversion"/>
  <conditionalFormatting sqref="P10:P15">
    <cfRule type="cellIs" dxfId="21" priority="64" operator="greaterThan">
      <formula>0.9</formula>
    </cfRule>
  </conditionalFormatting>
  <conditionalFormatting sqref="P19:P29">
    <cfRule type="cellIs" dxfId="20" priority="57" operator="greaterThan">
      <formula>0.9</formula>
    </cfRule>
  </conditionalFormatting>
  <conditionalFormatting sqref="P31:P32 P42">
    <cfRule type="cellIs" dxfId="19" priority="56" operator="greaterThan">
      <formula>0.9</formula>
    </cfRule>
  </conditionalFormatting>
  <conditionalFormatting sqref="P44:P46">
    <cfRule type="cellIs" dxfId="18" priority="40" operator="greaterThan">
      <formula>0.9</formula>
    </cfRule>
  </conditionalFormatting>
  <conditionalFormatting sqref="P48:P54">
    <cfRule type="cellIs" dxfId="17" priority="38" operator="greaterThan">
      <formula>0.9</formula>
    </cfRule>
  </conditionalFormatting>
  <conditionalFormatting sqref="P56:P59">
    <cfRule type="cellIs" dxfId="16" priority="37" operator="greaterThan">
      <formula>0.9</formula>
    </cfRule>
  </conditionalFormatting>
  <conditionalFormatting sqref="P60:P63 P68">
    <cfRule type="cellIs" dxfId="15" priority="36" operator="greaterThan">
      <formula>0.9</formula>
    </cfRule>
  </conditionalFormatting>
  <conditionalFormatting sqref="P16">
    <cfRule type="cellIs" dxfId="14" priority="15" operator="greaterThan">
      <formula>0.9</formula>
    </cfRule>
  </conditionalFormatting>
  <conditionalFormatting sqref="P17">
    <cfRule type="cellIs" dxfId="13" priority="14" operator="greaterThan">
      <formula>0.9</formula>
    </cfRule>
  </conditionalFormatting>
  <conditionalFormatting sqref="P33">
    <cfRule type="cellIs" dxfId="12" priority="13" operator="greaterThan">
      <formula>0.9</formula>
    </cfRule>
  </conditionalFormatting>
  <conditionalFormatting sqref="P34">
    <cfRule type="cellIs" dxfId="11" priority="12" operator="greaterThan">
      <formula>0.9</formula>
    </cfRule>
  </conditionalFormatting>
  <conditionalFormatting sqref="P35">
    <cfRule type="cellIs" dxfId="10" priority="11" operator="greaterThan">
      <formula>0.9</formula>
    </cfRule>
  </conditionalFormatting>
  <conditionalFormatting sqref="P36">
    <cfRule type="cellIs" dxfId="9" priority="10" operator="greaterThan">
      <formula>0.9</formula>
    </cfRule>
  </conditionalFormatting>
  <conditionalFormatting sqref="P37">
    <cfRule type="cellIs" dxfId="8" priority="9" operator="greaterThan">
      <formula>0.9</formula>
    </cfRule>
  </conditionalFormatting>
  <conditionalFormatting sqref="P38">
    <cfRule type="cellIs" dxfId="7" priority="8" operator="greaterThan">
      <formula>0.9</formula>
    </cfRule>
  </conditionalFormatting>
  <conditionalFormatting sqref="P39">
    <cfRule type="cellIs" dxfId="6" priority="7" operator="greaterThan">
      <formula>0.9</formula>
    </cfRule>
  </conditionalFormatting>
  <conditionalFormatting sqref="P40">
    <cfRule type="cellIs" dxfId="5" priority="6" operator="greaterThan">
      <formula>0.9</formula>
    </cfRule>
  </conditionalFormatting>
  <conditionalFormatting sqref="P41">
    <cfRule type="cellIs" dxfId="4" priority="5" operator="greaterThan">
      <formula>0.9</formula>
    </cfRule>
  </conditionalFormatting>
  <conditionalFormatting sqref="P64">
    <cfRule type="cellIs" dxfId="3" priority="4" operator="greaterThan">
      <formula>0.9</formula>
    </cfRule>
  </conditionalFormatting>
  <conditionalFormatting sqref="P65">
    <cfRule type="cellIs" dxfId="2" priority="3" operator="greaterThan">
      <formula>0.9</formula>
    </cfRule>
  </conditionalFormatting>
  <conditionalFormatting sqref="P66">
    <cfRule type="cellIs" dxfId="1" priority="2" operator="greaterThan">
      <formula>0.9</formula>
    </cfRule>
  </conditionalFormatting>
  <conditionalFormatting sqref="P67">
    <cfRule type="cellIs" dxfId="0" priority="1" operator="greaterThan">
      <formula>0.9</formula>
    </cfRule>
  </conditionalFormatting>
  <printOptions horizontalCentered="1"/>
  <pageMargins left="0.51181102362204722" right="0.51181102362204722" top="1.5748031496062993" bottom="0.59055118110236227" header="0.31496062992125984" footer="0.31496062992125984"/>
  <pageSetup paperSize="9" scale="62" fitToHeight="0" orientation="landscape" r:id="rId1"/>
  <headerFooter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view="pageBreakPreview" zoomScaleNormal="100" zoomScaleSheetLayoutView="100" workbookViewId="0">
      <selection activeCell="B8" sqref="B8:E8"/>
    </sheetView>
  </sheetViews>
  <sheetFormatPr defaultRowHeight="15" x14ac:dyDescent="0.25"/>
  <cols>
    <col min="1" max="1" width="3.28515625" customWidth="1"/>
    <col min="2" max="2" width="7.85546875" bestFit="1" customWidth="1"/>
    <col min="3" max="3" width="90.28515625" customWidth="1"/>
    <col min="4" max="4" width="6" bestFit="1" customWidth="1"/>
    <col min="5" max="5" width="13.7109375" customWidth="1"/>
    <col min="6" max="6" width="3.42578125" customWidth="1"/>
  </cols>
  <sheetData>
    <row r="1" spans="1:5" ht="15.75" thickBot="1" x14ac:dyDescent="0.3"/>
    <row r="2" spans="1:5" x14ac:dyDescent="0.25">
      <c r="A2" s="148"/>
      <c r="B2" s="266" t="s">
        <v>177</v>
      </c>
      <c r="C2" s="267"/>
      <c r="D2" s="267"/>
      <c r="E2" s="268"/>
    </row>
    <row r="3" spans="1:5" x14ac:dyDescent="0.25">
      <c r="B3" s="269"/>
      <c r="C3" s="270"/>
      <c r="D3" s="270"/>
      <c r="E3" s="271"/>
    </row>
    <row r="4" spans="1:5" x14ac:dyDescent="0.25">
      <c r="B4" s="269"/>
      <c r="C4" s="270"/>
      <c r="D4" s="270"/>
      <c r="E4" s="271"/>
    </row>
    <row r="5" spans="1:5" x14ac:dyDescent="0.25">
      <c r="B5" s="269"/>
      <c r="C5" s="270"/>
      <c r="D5" s="270"/>
      <c r="E5" s="271"/>
    </row>
    <row r="6" spans="1:5" x14ac:dyDescent="0.25">
      <c r="B6" s="269"/>
      <c r="C6" s="270"/>
      <c r="D6" s="270"/>
      <c r="E6" s="271"/>
    </row>
    <row r="7" spans="1:5" ht="14.25" customHeight="1" x14ac:dyDescent="0.25">
      <c r="B7" s="272"/>
      <c r="C7" s="273"/>
      <c r="D7" s="273"/>
      <c r="E7" s="274"/>
    </row>
    <row r="8" spans="1:5" ht="15.75" x14ac:dyDescent="0.25">
      <c r="B8" s="275" t="s">
        <v>194</v>
      </c>
      <c r="C8" s="276"/>
      <c r="D8" s="276"/>
      <c r="E8" s="277"/>
    </row>
    <row r="9" spans="1:5" ht="31.5" customHeight="1" x14ac:dyDescent="0.25">
      <c r="B9" s="278" t="s">
        <v>181</v>
      </c>
      <c r="C9" s="279"/>
      <c r="D9" s="280" t="s">
        <v>183</v>
      </c>
      <c r="E9" s="281"/>
    </row>
    <row r="10" spans="1:5" ht="42" customHeight="1" x14ac:dyDescent="0.25">
      <c r="B10" s="278" t="s">
        <v>182</v>
      </c>
      <c r="C10" s="279"/>
      <c r="D10" s="282"/>
      <c r="E10" s="283"/>
    </row>
    <row r="11" spans="1:5" ht="16.5" thickBot="1" x14ac:dyDescent="0.3">
      <c r="B11" s="139" t="s">
        <v>187</v>
      </c>
      <c r="C11" s="140" t="s">
        <v>184</v>
      </c>
      <c r="D11" s="140" t="s">
        <v>185</v>
      </c>
      <c r="E11" s="141" t="s">
        <v>186</v>
      </c>
    </row>
    <row r="12" spans="1:5" ht="16.5" thickBot="1" x14ac:dyDescent="0.3">
      <c r="B12" s="142">
        <v>1</v>
      </c>
      <c r="C12" s="143" t="s">
        <v>88</v>
      </c>
      <c r="D12" s="144"/>
      <c r="E12" s="145"/>
    </row>
    <row r="13" spans="1:5" ht="15.75" x14ac:dyDescent="0.25">
      <c r="B13" s="146" t="s">
        <v>18</v>
      </c>
      <c r="C13" s="147" t="s">
        <v>79</v>
      </c>
      <c r="D13" s="259" t="s">
        <v>80</v>
      </c>
      <c r="E13" s="261">
        <v>1</v>
      </c>
    </row>
    <row r="14" spans="1:5" ht="15.75" x14ac:dyDescent="0.25">
      <c r="B14" s="254" t="s">
        <v>178</v>
      </c>
      <c r="C14" s="255"/>
      <c r="D14" s="257"/>
      <c r="E14" s="284"/>
    </row>
    <row r="15" spans="1:5" ht="31.5" x14ac:dyDescent="0.25">
      <c r="B15" s="146" t="s">
        <v>29</v>
      </c>
      <c r="C15" s="147" t="s">
        <v>81</v>
      </c>
      <c r="D15" s="256" t="s">
        <v>80</v>
      </c>
      <c r="E15" s="258">
        <v>1</v>
      </c>
    </row>
    <row r="16" spans="1:5" ht="15.75" customHeight="1" x14ac:dyDescent="0.25">
      <c r="B16" s="254" t="s">
        <v>178</v>
      </c>
      <c r="C16" s="255"/>
      <c r="D16" s="257"/>
      <c r="E16" s="258"/>
    </row>
    <row r="17" spans="2:5" ht="31.5" x14ac:dyDescent="0.25">
      <c r="B17" s="146" t="s">
        <v>30</v>
      </c>
      <c r="C17" s="147" t="s">
        <v>82</v>
      </c>
      <c r="D17" s="256" t="s">
        <v>80</v>
      </c>
      <c r="E17" s="258">
        <v>1</v>
      </c>
    </row>
    <row r="18" spans="2:5" ht="15.75" customHeight="1" x14ac:dyDescent="0.25">
      <c r="B18" s="254" t="s">
        <v>178</v>
      </c>
      <c r="C18" s="255"/>
      <c r="D18" s="257"/>
      <c r="E18" s="258"/>
    </row>
    <row r="19" spans="2:5" ht="31.5" x14ac:dyDescent="0.25">
      <c r="B19" s="146" t="s">
        <v>31</v>
      </c>
      <c r="C19" s="147" t="s">
        <v>83</v>
      </c>
      <c r="D19" s="265" t="s">
        <v>80</v>
      </c>
      <c r="E19" s="258">
        <v>1</v>
      </c>
    </row>
    <row r="20" spans="2:5" ht="15.75" customHeight="1" thickBot="1" x14ac:dyDescent="0.3">
      <c r="B20" s="254" t="s">
        <v>178</v>
      </c>
      <c r="C20" s="255"/>
      <c r="D20" s="265"/>
      <c r="E20" s="258"/>
    </row>
    <row r="21" spans="2:5" ht="16.5" thickBot="1" x14ac:dyDescent="0.3">
      <c r="B21" s="142">
        <v>2</v>
      </c>
      <c r="C21" s="143" t="s">
        <v>102</v>
      </c>
      <c r="D21" s="144"/>
      <c r="E21" s="145"/>
    </row>
    <row r="22" spans="2:5" ht="31.5" x14ac:dyDescent="0.25">
      <c r="B22" s="146" t="s">
        <v>34</v>
      </c>
      <c r="C22" s="147" t="s">
        <v>90</v>
      </c>
      <c r="D22" s="256" t="s">
        <v>40</v>
      </c>
      <c r="E22" s="258">
        <v>1560</v>
      </c>
    </row>
    <row r="23" spans="2:5" ht="15.75" x14ac:dyDescent="0.25">
      <c r="B23" s="254" t="s">
        <v>188</v>
      </c>
      <c r="C23" s="255"/>
      <c r="D23" s="257"/>
      <c r="E23" s="258"/>
    </row>
    <row r="24" spans="2:5" ht="31.5" x14ac:dyDescent="0.25">
      <c r="B24" s="146" t="s">
        <v>35</v>
      </c>
      <c r="C24" s="147" t="s">
        <v>91</v>
      </c>
      <c r="D24" s="256" t="s">
        <v>41</v>
      </c>
      <c r="E24" s="258">
        <v>170.28</v>
      </c>
    </row>
    <row r="25" spans="2:5" ht="20.25" customHeight="1" x14ac:dyDescent="0.25">
      <c r="B25" s="254" t="s">
        <v>189</v>
      </c>
      <c r="C25" s="255"/>
      <c r="D25" s="257"/>
      <c r="E25" s="258"/>
    </row>
    <row r="26" spans="2:5" ht="15.75" x14ac:dyDescent="0.25">
      <c r="B26" s="146" t="s">
        <v>36</v>
      </c>
      <c r="C26" s="75" t="s">
        <v>92</v>
      </c>
      <c r="D26" s="256" t="s">
        <v>41</v>
      </c>
      <c r="E26" s="258">
        <v>72.959999999999994</v>
      </c>
    </row>
    <row r="27" spans="2:5" ht="19.5" customHeight="1" x14ac:dyDescent="0.25">
      <c r="B27" s="254" t="s">
        <v>190</v>
      </c>
      <c r="C27" s="255"/>
      <c r="D27" s="257"/>
      <c r="E27" s="258"/>
    </row>
    <row r="28" spans="2:5" ht="15.75" x14ac:dyDescent="0.25">
      <c r="B28" s="146" t="s">
        <v>37</v>
      </c>
      <c r="C28" s="75" t="s">
        <v>93</v>
      </c>
      <c r="D28" s="256" t="s">
        <v>41</v>
      </c>
      <c r="E28" s="258">
        <v>72.959999999999994</v>
      </c>
    </row>
    <row r="29" spans="2:5" ht="39.75" customHeight="1" x14ac:dyDescent="0.25">
      <c r="B29" s="254" t="s">
        <v>191</v>
      </c>
      <c r="C29" s="255"/>
      <c r="D29" s="257"/>
      <c r="E29" s="258"/>
    </row>
    <row r="30" spans="2:5" ht="24" x14ac:dyDescent="0.25">
      <c r="B30" s="146" t="s">
        <v>43</v>
      </c>
      <c r="C30" s="75" t="s">
        <v>94</v>
      </c>
      <c r="D30" s="256" t="s">
        <v>40</v>
      </c>
      <c r="E30" s="258">
        <v>1865.6</v>
      </c>
    </row>
    <row r="31" spans="2:5" ht="100.5" customHeight="1" thickBot="1" x14ac:dyDescent="0.3">
      <c r="B31" s="254" t="s">
        <v>192</v>
      </c>
      <c r="C31" s="255"/>
      <c r="D31" s="257"/>
      <c r="E31" s="258"/>
    </row>
    <row r="32" spans="2:5" ht="16.5" thickBot="1" x14ac:dyDescent="0.3">
      <c r="B32" s="142">
        <v>4</v>
      </c>
      <c r="C32" s="143" t="s">
        <v>126</v>
      </c>
      <c r="D32" s="144"/>
      <c r="E32" s="145"/>
    </row>
    <row r="33" spans="2:5" ht="15.75" x14ac:dyDescent="0.25">
      <c r="B33" s="146" t="s">
        <v>54</v>
      </c>
      <c r="C33" s="82" t="s">
        <v>128</v>
      </c>
      <c r="D33" s="259" t="s">
        <v>40</v>
      </c>
      <c r="E33" s="261">
        <v>8</v>
      </c>
    </row>
    <row r="34" spans="2:5" ht="16.5" thickBot="1" x14ac:dyDescent="0.3">
      <c r="B34" s="263" t="s">
        <v>193</v>
      </c>
      <c r="C34" s="264"/>
      <c r="D34" s="260"/>
      <c r="E34" s="262"/>
    </row>
  </sheetData>
  <mergeCells count="35">
    <mergeCell ref="E15:E16"/>
    <mergeCell ref="D17:D18"/>
    <mergeCell ref="E17:E18"/>
    <mergeCell ref="D19:D20"/>
    <mergeCell ref="E19:E20"/>
    <mergeCell ref="B2:E7"/>
    <mergeCell ref="B8:E8"/>
    <mergeCell ref="B9:C9"/>
    <mergeCell ref="D9:E10"/>
    <mergeCell ref="B10:C10"/>
    <mergeCell ref="D13:D14"/>
    <mergeCell ref="E13:E14"/>
    <mergeCell ref="B14:C14"/>
    <mergeCell ref="B16:C16"/>
    <mergeCell ref="B18:C18"/>
    <mergeCell ref="B20:C20"/>
    <mergeCell ref="D15:D16"/>
    <mergeCell ref="D26:D27"/>
    <mergeCell ref="E26:E27"/>
    <mergeCell ref="B27:C27"/>
    <mergeCell ref="D28:D29"/>
    <mergeCell ref="E28:E29"/>
    <mergeCell ref="D22:D23"/>
    <mergeCell ref="E22:E23"/>
    <mergeCell ref="B23:C23"/>
    <mergeCell ref="D24:D25"/>
    <mergeCell ref="E24:E25"/>
    <mergeCell ref="B25:C25"/>
    <mergeCell ref="B29:C29"/>
    <mergeCell ref="D30:D31"/>
    <mergeCell ref="E30:E31"/>
    <mergeCell ref="B31:C31"/>
    <mergeCell ref="D33:D34"/>
    <mergeCell ref="E33:E34"/>
    <mergeCell ref="B34:C34"/>
  </mergeCells>
  <pageMargins left="0.511811024" right="0.511811024" top="0.78740157499999996" bottom="0.78740157499999996" header="0.31496062000000002" footer="0.31496062000000002"/>
  <pageSetup paperSize="9" scale="74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MEDIÇÃO 2</vt:lpstr>
      <vt:lpstr>MEMO CALCULO 02</vt:lpstr>
      <vt:lpstr>'MEDIÇÃO 2'!Area_de_impressao</vt:lpstr>
      <vt:lpstr>'MEMO CALCULO 02'!Area_de_impressao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ENGENHARIA</cp:lastModifiedBy>
  <cp:lastPrinted>2022-06-02T19:12:40Z</cp:lastPrinted>
  <dcterms:created xsi:type="dcterms:W3CDTF">2021-01-05T13:52:00Z</dcterms:created>
  <dcterms:modified xsi:type="dcterms:W3CDTF">2022-06-03T10:32:58Z</dcterms:modified>
</cp:coreProperties>
</file>