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4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6" sheetId="1" state="visible" r:id="rId2"/>
    <sheet name="MEMO CALCULO 06" sheetId="2" state="visible" r:id="rId3"/>
  </sheets>
  <definedNames>
    <definedName function="false" hidden="false" localSheetId="0" name="_xlnm.Print_Area" vbProcedure="false">'MEDIÇÃO 6'!$A$1:$P$79</definedName>
    <definedName function="false" hidden="false" localSheetId="1" name="_xlnm.Print_Area" vbProcedure="false">'MEMO CALCULO 06'!$A$1:$F$58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<sst xmlns="http://schemas.openxmlformats.org/spreadsheetml/2006/main" count="329" uniqueCount="207">
  <si>
    <t xml:space="preserve">BOLETIM DE MEDIÇÃO</t>
  </si>
  <si>
    <t xml:space="preserve">DATA: 05/10/2022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</si>
  <si>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MURO DE CONTENÇÃO E ESTABILIZAÇÃO DE TALUDES EM ÁREA DE RISCO</t>
    </r>
  </si>
  <si>
    <t xml:space="preserve">CONTRATO Nº:</t>
  </si>
  <si>
    <t xml:space="preserve">026/2022</t>
  </si>
  <si>
    <t xml:space="preserve">Assinatura: 23/02/2022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</si>
  <si>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</si>
  <si>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</si>
  <si>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RUAS ANTÔNIO GIL VELOSO, CENTRO E MIGUEL ÂNGELO PIONTKOVSKY, BAIRRO NOSSA SENHORA DAS GRAÇAS, NESTE MUNICÍPIO</t>
    </r>
  </si>
  <si>
    <t xml:space="preserve">PERÍODO:</t>
  </si>
  <si>
    <t xml:space="preserve">a </t>
  </si>
  <si>
    <t xml:space="preserve">PRAZO:</t>
  </si>
  <si>
    <t xml:space="preserve">365 DIAS</t>
  </si>
  <si>
    <r>
      <rPr>
        <b val="true"/>
        <sz val="10"/>
        <rFont val="Arial"/>
        <family val="2"/>
        <charset val="1"/>
      </rPr>
      <t xml:space="preserve">EMPREITEIRA: </t>
    </r>
    <r>
      <rPr>
        <sz val="10"/>
        <rFont val="Arial"/>
        <family val="2"/>
        <charset val="1"/>
      </rPr>
      <t xml:space="preserve">M S CONSTRUTORA EIRELI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</si>
  <si>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</si>
  <si>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</si>
  <si>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</si>
  <si>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</si>
  <si>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</si>
  <si>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</si>
  <si>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</si>
  <si>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REAJUSTE</t>
  </si>
  <si>
    <t xml:space="preserve">REAJUSTE + BDI</t>
  </si>
  <si>
    <t xml:space="preserve">ACUMULADO ANTERIOR</t>
  </si>
  <si>
    <t xml:space="preserve">MEDIÇÃO 06</t>
  </si>
  <si>
    <t xml:space="preserve">TOTAL MEDIDO</t>
  </si>
  <si>
    <t xml:space="preserve">TOTAL</t>
  </si>
  <si>
    <t xml:space="preserve">%</t>
  </si>
  <si>
    <t xml:space="preserve">1.</t>
  </si>
  <si>
    <t xml:space="preserve">CANTEIRO DE OBRAS</t>
  </si>
  <si>
    <t xml:space="preserve">1.1</t>
  </si>
  <si>
    <t xml:space="preserve">Aluguel de container para almoxarifado</t>
  </si>
  <si>
    <t xml:space="preserve">mês</t>
  </si>
  <si>
    <t xml:space="preserve">1.2</t>
  </si>
  <si>
    <t xml:space="preserve">Aluguel de container p/ escritório c/ ar condicionado e banheiro,isolam.térmico e acústico, 2 luminárias, janela de vidro, tomada p/ comput. E telef.</t>
  </si>
  <si>
    <t xml:space="preserve">1.3</t>
  </si>
  <si>
    <t xml:space="preserve">Aluguel de container tipo refeitório (2 unidades acopladas), c/ 2 aparelhos de ar condicionado, 4 lumináriase 4 janelas de vidro</t>
  </si>
  <si>
    <t xml:space="preserve">1.4</t>
  </si>
  <si>
    <t xml:space="preserve">Aluguel de container tipo sanitário com 3 vasos sanitários, lavatório, mictório, 5 chuveiros, 2 venezianas e piso especial</t>
  </si>
  <si>
    <t xml:space="preserve">1.5</t>
  </si>
  <si>
    <t xml:space="preserve">Reservatório de fibra de vidro de 1000 L, incl. suporte em madeira de 7x12cm, elevado de 4m</t>
  </si>
  <si>
    <t xml:space="preserve">und</t>
  </si>
  <si>
    <t xml:space="preserve">1.6</t>
  </si>
  <si>
    <t xml:space="preserve">Rede de água c/ padrão de entrada d'água diâm. 3/4" conf. CESAN, incl. tubos e conexões p/ aliment., distrib., extravas. e limp., cons. o padrão a 25m</t>
  </si>
  <si>
    <t xml:space="preserve">m</t>
  </si>
  <si>
    <t xml:space="preserve">1.7</t>
  </si>
  <si>
    <t xml:space="preserve">Rede de luz, incl. padrão entr. energia trifás. cabo ligação até barracões, quadro distrib., disj. e chave de força, cons. 20m entre padrão entr.e QDG</t>
  </si>
  <si>
    <t xml:space="preserve">1.8</t>
  </si>
  <si>
    <t xml:space="preserve">Galpão em peças de madeira 8x8cm e contravent. de 5x7cm, cobertura de telhas de fibroc. de 6mm, incl. ponto e cabo de alimentação da máquina</t>
  </si>
  <si>
    <t xml:space="preserve">m²</t>
  </si>
  <si>
    <t xml:space="preserve">2.</t>
  </si>
  <si>
    <t xml:space="preserve">TERRAPLANAGEM</t>
  </si>
  <si>
    <t xml:space="preserve">2.1</t>
  </si>
  <si>
    <t xml:space="preserve">Capina manual inclusive, limpeza</t>
  </si>
  <si>
    <t xml:space="preserve">2.2</t>
  </si>
  <si>
    <t xml:space="preserve">Escavação, carga e transporte de material de 1ª cat. 1000 a 1200 m com moto-escavotransportador</t>
  </si>
  <si>
    <t xml:space="preserve">m³</t>
  </si>
  <si>
    <t xml:space="preserve">2.3</t>
  </si>
  <si>
    <t xml:space="preserve">Escavação, carga e transporte de material de 2ª cat. 1000 a 1200 m com moto-escavotransportador</t>
  </si>
  <si>
    <t xml:space="preserve">2.4</t>
  </si>
  <si>
    <t xml:space="preserve">Escavação e carga de material de 3ª categoria (H bancada &gt;1,0 m)</t>
  </si>
  <si>
    <t xml:space="preserve">2.5</t>
  </si>
  <si>
    <t xml:space="preserve">Fragmentação de rocha (fogacheamento)</t>
  </si>
  <si>
    <t xml:space="preserve">2.6</t>
  </si>
  <si>
    <t xml:space="preserve">Preparo manual de talude, compreendendo acerto, raspagem eventual de até 0,30m de prof. e afastamento lateral</t>
  </si>
  <si>
    <t xml:space="preserve">2.7</t>
  </si>
  <si>
    <t xml:space="preserve">Transporte de materiais encosta acima, serviço manual, inclusive carga e e descarga</t>
  </si>
  <si>
    <t xml:space="preserve">tdam</t>
  </si>
  <si>
    <t xml:space="preserve">2.8</t>
  </si>
  <si>
    <t xml:space="preserve">Transporte de materiais encosta abaixo, serviço manual, inclusive carga e descarga</t>
  </si>
  <si>
    <t xml:space="preserve">2.9</t>
  </si>
  <si>
    <t xml:space="preserve">Transporte Local de Materiais (TR-101-01) (Vias urbanas - Caminhão basculante): XP=7 e XR=2 - (1,123XP + 1,497XR + 1,872) -  </t>
  </si>
  <si>
    <t xml:space="preserve">t</t>
  </si>
  <si>
    <t xml:space="preserve">2.10</t>
  </si>
  <si>
    <t xml:space="preserve">Compactação de aterros 100% PN</t>
  </si>
  <si>
    <t xml:space="preserve">2.11</t>
  </si>
  <si>
    <t xml:space="preserve">Aquisição de solo de jazida comercial (saibreira)</t>
  </si>
  <si>
    <t xml:space="preserve">3.</t>
  </si>
  <si>
    <t xml:space="preserve">DRENAGEM</t>
  </si>
  <si>
    <t xml:space="preserve">3.1</t>
  </si>
  <si>
    <t xml:space="preserve">Religação de rede de água em PVC DN 25mm,inclusive conexões</t>
  </si>
  <si>
    <t xml:space="preserve">3.2</t>
  </si>
  <si>
    <t xml:space="preserve">Tubo PVC rígido para esgoto no diâmetro de 200mm incluindo escavação e aterro com areia</t>
  </si>
  <si>
    <t xml:space="preserve">3.3</t>
  </si>
  <si>
    <t xml:space="preserve">Canaleta de concreto retangular (0,130m³/m) inclusive caiação</t>
  </si>
  <si>
    <t xml:space="preserve">3.4</t>
  </si>
  <si>
    <t xml:space="preserve">Caixa coletora em bloco pré-moldado para d-&gt;0,60m (1,00 x 1,00m)</t>
  </si>
  <si>
    <t xml:space="preserve">Ud</t>
  </si>
  <si>
    <t xml:space="preserve">3.5</t>
  </si>
  <si>
    <t xml:space="preserve">Tampa de concreto em grelha, fornecimento, assentamento e transporte</t>
  </si>
  <si>
    <t xml:space="preserve">3.6</t>
  </si>
  <si>
    <t xml:space="preserve">Eletroduto de PVC diâmetro de 4", fornecimento e instalação</t>
  </si>
  <si>
    <t xml:space="preserve">3.7</t>
  </si>
  <si>
    <t xml:space="preserve">Geogrelha com resistência londitudinal a tração 35 a 40 kN, resist. transversal a tração 30 kN e deformação 5%, fornecimento e aplicação</t>
  </si>
  <si>
    <t xml:space="preserve">3.8</t>
  </si>
  <si>
    <t xml:space="preserve">Colchão drenante de brita 2 inclusive fornecimento, espalhamento,compactação e transporte da brita</t>
  </si>
  <si>
    <t xml:space="preserve">3.9</t>
  </si>
  <si>
    <t xml:space="preserve">Meio fio (remoção e reassentamento), inclusive caiação</t>
  </si>
  <si>
    <t xml:space="preserve">3.10</t>
  </si>
  <si>
    <t xml:space="preserve">Calçada de concreto</t>
  </si>
  <si>
    <t xml:space="preserve">3.11</t>
  </si>
  <si>
    <t xml:space="preserve">Tela de aço soldada Telcon Q-138 ou similar, fornecimento e assentamento</t>
  </si>
  <si>
    <t xml:space="preserve">3.12</t>
  </si>
  <si>
    <t xml:space="preserve">Lona plástica preta para isolamento de concretagem sobre solo, fornecimento e colocação</t>
  </si>
  <si>
    <t xml:space="preserve">4.</t>
  </si>
  <si>
    <t xml:space="preserve">SINALIZAÇÃO</t>
  </si>
  <si>
    <t xml:space="preserve">4.1</t>
  </si>
  <si>
    <t xml:space="preserve">Placas de sinalização, inclusive materiais, substituição</t>
  </si>
  <si>
    <t xml:space="preserve">4.2</t>
  </si>
  <si>
    <t xml:space="preserve">Tapume de vedação e proteção, executado com chapas de compensado resinado com 6 mm de espessura, exclusive pintura, em Vias Urbanas</t>
  </si>
  <si>
    <t xml:space="preserve">4.3</t>
  </si>
  <si>
    <t xml:space="preserve">Tela de proteção de segurança de PVC cor laranja com suporte para sinalização de obras </t>
  </si>
  <si>
    <t xml:space="preserve">5.</t>
  </si>
  <si>
    <t xml:space="preserve">SOLO GRAMPEADO</t>
  </si>
  <si>
    <t xml:space="preserve">5.1</t>
  </si>
  <si>
    <t xml:space="preserve">Concreto projetado com cimento especial</t>
  </si>
  <si>
    <t xml:space="preserve">5.2</t>
  </si>
  <si>
    <t xml:space="preserve">5.3</t>
  </si>
  <si>
    <t xml:space="preserve">Microconcreto com aditivo</t>
  </si>
  <si>
    <t xml:space="preserve">5.4</t>
  </si>
  <si>
    <t xml:space="preserve">Dreno de PVC  D = 50 mm em Vias Urbanas</t>
  </si>
  <si>
    <t xml:space="preserve">5.5</t>
  </si>
  <si>
    <t xml:space="preserve">Manta Geotêxtil não tecida com resistência longitudinal a tração 10kN/m, fornecimento e aplicação</t>
  </si>
  <si>
    <t xml:space="preserve">5.6</t>
  </si>
  <si>
    <t xml:space="preserve">Colchão drenante de brita 2 inclusive fornecimento, espalhamento, compactação e transporte da brita</t>
  </si>
  <si>
    <t xml:space="preserve">5.7</t>
  </si>
  <si>
    <t xml:space="preserve">Grampo de aço CA-50 D = 12,5 mm para solo grampeado com capacidade de 30 kN - fornecimento, perfuração e instalação</t>
  </si>
  <si>
    <t xml:space="preserve">6.</t>
  </si>
  <si>
    <t xml:space="preserve">MURO</t>
  </si>
  <si>
    <t xml:space="preserve">6.1</t>
  </si>
  <si>
    <t xml:space="preserve">Formas planas de madeirit meso e superestrutura com 4 reaproveitamentos esp. -&gt; 17 mm</t>
  </si>
  <si>
    <t xml:space="preserve">6.2</t>
  </si>
  <si>
    <t xml:space="preserve">Formas planas de madeira sem reaproveitamento (fundações), inclusive fornecimento e transporte das madeiras</t>
  </si>
  <si>
    <t xml:space="preserve">6.3</t>
  </si>
  <si>
    <t xml:space="preserve">Concreto estrutural fck -&gt; 25,0 MPa com plastificante em Vias Urbanas</t>
  </si>
  <si>
    <t xml:space="preserve">6.4</t>
  </si>
  <si>
    <t xml:space="preserve">Aluguel mensal de escoramento tubular com tubos metálicos com até 10 metros de altura</t>
  </si>
  <si>
    <t xml:space="preserve">6.5</t>
  </si>
  <si>
    <t xml:space="preserve">Montagem e desmontagem de escoramento tubular normal, em obras de arte na densidade de 5m de tubo por m³ de escoramento</t>
  </si>
  <si>
    <t xml:space="preserve">6.6</t>
  </si>
  <si>
    <t xml:space="preserve">Aço CA-50, fornecimento, dobragem e colocação nas formas (preço médio das bitolas)</t>
  </si>
  <si>
    <t xml:space="preserve">kg</t>
  </si>
  <si>
    <t xml:space="preserve">6.7</t>
  </si>
  <si>
    <t xml:space="preserve">Acessório para tirante protendido de aço ST 85/105</t>
  </si>
  <si>
    <t xml:space="preserve">6.8</t>
  </si>
  <si>
    <t xml:space="preserve">Tirante de aço ST 85/105, diâmetro de 32 mm, incluindo fornecimento da barra e da bainha proteção anticorrosiva, preparo e colocação no furo</t>
  </si>
  <si>
    <t xml:space="preserve">6.9</t>
  </si>
  <si>
    <t xml:space="preserve">Injeção de calda de cimento para chumbamento de tirantes</t>
  </si>
  <si>
    <t xml:space="preserve">SC</t>
  </si>
  <si>
    <t xml:space="preserve">6.10</t>
  </si>
  <si>
    <t xml:space="preserve">Perfuração rotativa inclinada, em rocha sã, com coroa de diamante, diâmetro N (75mm), inclusive deslocamento e posicionamento em cada furo.</t>
  </si>
  <si>
    <t xml:space="preserve">6.11</t>
  </si>
  <si>
    <t xml:space="preserve">Plataforma ou passarela de pinho de 1ª ou similar, 1" x 12"</t>
  </si>
  <si>
    <t xml:space="preserve">6.12</t>
  </si>
  <si>
    <t xml:space="preserve">Andaime de madeira para altura até 7 m, compreendendo montagem e desmontagem em Vias Urbanas</t>
  </si>
  <si>
    <t xml:space="preserve">6.13</t>
  </si>
  <si>
    <t xml:space="preserve">Perfuração rotativa inclinada, em solo, com coroa de Widia, diâmetro 75mm</t>
  </si>
  <si>
    <t xml:space="preserve">TOTAIS</t>
  </si>
  <si>
    <t xml:space="preserve">VALOR TOTAL DO CONTRATO </t>
  </si>
  <si>
    <t xml:space="preserve">POSIÇÃO FÍSICA DO CONTRATO</t>
  </si>
  <si>
    <t xml:space="preserve"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</si>
  <si>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</si>
  <si>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</si>
  <si>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</si>
  <si>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</si>
  <si>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</si>
  <si>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JÚNIOR</t>
  </si>
  <si>
    <t xml:space="preserve">ENGENHEIRO CIVIL CREA ES 20109/D</t>
  </si>
  <si>
    <t xml:space="preserve">Reajustamento Planilha Base - Fonte DNIT</t>
  </si>
  <si>
    <t xml:space="preserve">Índices</t>
  </si>
  <si>
    <t xml:space="preserve">Grupo de Serviços</t>
  </si>
  <si>
    <t xml:space="preserve">Reajuste</t>
  </si>
  <si>
    <t xml:space="preserve">Terraplenagem</t>
  </si>
  <si>
    <t xml:space="preserve">Drenagem</t>
  </si>
  <si>
    <t xml:space="preserve">OBRAS DE ARTE ESPECIAIS (Sem Aço)</t>
  </si>
  <si>
    <t xml:space="preserve">OBRAS DE ARTE ESPECIAIS </t>
  </si>
  <si>
    <t xml:space="preserve">Sinalização Vertical</t>
  </si>
  <si>
    <t xml:space="preserve">Mobilização e Desmobilização</t>
  </si>
  <si>
    <t xml:space="preserve">OBS: todos os itens, exceto o 05.07 (SICRO ABRIL 2021) e 03.02 (DER EDIF. 2021)</t>
  </si>
  <si>
    <t xml:space="preserve">PREFEITURA MUNICIPAL DE SÃO ROQUE DO CANAÃ</t>
  </si>
  <si>
    <t xml:space="preserve">Memória de cálculo 6ª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</si>
  <si>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muro de contenção e estabilização de taludes em área de risco</t>
    </r>
  </si>
  <si>
    <t xml:space="preserve">Data: 05/10/2022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</si>
  <si>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Ruas Antônio Gil Veloso, Centro e Miguel Ângelo Piontkovsky, Bairro Nossa Senhora das Graças, neste Município</t>
    </r>
  </si>
  <si>
    <t xml:space="preserve">Item</t>
  </si>
  <si>
    <t xml:space="preserve">Descrição</t>
  </si>
  <si>
    <t xml:space="preserve">Und</t>
  </si>
  <si>
    <t xml:space="preserve">Quant.</t>
  </si>
  <si>
    <t xml:space="preserve">1,00 mês</t>
  </si>
  <si>
    <t xml:space="preserve"> Atrás da cortina: 85,00 m (comprimento) x 5,00 m (largura) x 2,40 m (altura) = 1020,00 m³</t>
  </si>
  <si>
    <t xml:space="preserve">atrás da cortina: 85,00 m (comprimento) x5,00 m (largura) x 2,40 m (altura) = 1020,00 m³</t>
  </si>
  <si>
    <t xml:space="preserve">Aplicação de Geogrelha: 85,00 m (comprimento) x 4,00 m (altura) = 340,00 m²</t>
  </si>
  <si>
    <t xml:space="preserve">Drenagem cortina: 85,00 m (comprimento) x 4,00 m (altura) x 0,15 m (espessura) = 51,00 m³</t>
  </si>
  <si>
    <t xml:space="preserve">Grampos reinjeção nas arestas: 180,00 (grampos) x 0,20 m (profundidade) x 0,008 m² (área do furo) = 0,28 m³</t>
  </si>
  <si>
    <t xml:space="preserve">Solo Grampeado: 900,00 (grampos) x 0,01562 m³ (volume) = 14,06 m³</t>
  </si>
  <si>
    <t xml:space="preserve">Talude: 345,00 grampos x 3,00 m (comprimento) = 1035,00 m</t>
  </si>
  <si>
    <t xml:space="preserve">Cortinas: 85,00 m (comprimento) x 2,9811 m (altura) x 2,00 lados = 506,80 m²</t>
  </si>
  <si>
    <t xml:space="preserve">Base da Cortina: 91,00 m (comprimento) x 1,10 m (largura) x 0,30 m (espessura) = 30,03 m³ – 16,20m³ (quantidade já medida) = 13,83 m³                                                                                                                         Mureta – Calha: 38,00 m (comprimento) x 0,90 m (largura) x 0,146 m (espessura)= 5,00 m³                                  Base da Mureta – Base Irregular: 38,00 m (comprimento) x 0,90 m (largura) x 0,38 m (espessura)= 13,00 m³     Concreto na Pedra: 28,00 m (comprimento) x 11,50 m (largura) x 0,20 m (espessura)= 64,40 m³                                 </t>
  </si>
  <si>
    <t xml:space="preserve">ud</t>
  </si>
  <si>
    <t xml:space="preserve">Cortina: quantidade = 50,00 acessórios</t>
  </si>
  <si>
    <t xml:space="preserve">Cortina: 596,68 m</t>
  </si>
  <si>
    <t xml:space="preserve">sc</t>
  </si>
  <si>
    <t xml:space="preserve">Cortina: 596,68 m (comprimento) x 0,00442 m² x 27,80 (fator) = 73,32 sacos</t>
  </si>
  <si>
    <t xml:space="preserve">556,20 m conforme relatório</t>
  </si>
  <si>
    <t xml:space="preserve">Cortina/forma/aço: 85,00 m (comprimento) x 1,50 m (altura) x 2 linhas = 255,00 m²</t>
  </si>
  <si>
    <t xml:space="preserve">Cortina/forma/aço: 85,00 m (comprimento) x 2,50 m (altura) x 3,00 m (largura) = 637,50 m²</t>
  </si>
  <si>
    <t xml:space="preserve">Perfuração conforme relátório: 631,80 m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</si>
</sst>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#,##0.00"/>
    <numFmt numFmtId="174" formatCode="_-* #,##0.000_-;\-* #,##0.000_-;_-* \-???_-;_-@_-"/>
    <numFmt numFmtId="175" formatCode="mmm/yy"/>
    <numFmt numFmtId="176" formatCode="_-* #,##0.000_-;\-* #,##0.000_-;_-* \-??_-;_-@_-"/>
  </numFmts>
  <fonts count="21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1"/>
      <name val="Arial"/>
      <family val="2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color rgb="FF000000"/>
      <name val="Arial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sz val="9"/>
      <name val="Calibri"/>
      <family val="2"/>
      <charset val="1"/>
    </font>
    <font>
      <b val="true"/>
      <sz val="11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DEDED"/>
      </patternFill>
    </fill>
    <fill>
      <patternFill patternType="solid">
        <fgColor rgb="FFD9D9D9"/>
        <bgColor rgb="FFD0CECE"/>
      </patternFill>
    </fill>
    <fill>
      <patternFill patternType="solid">
        <fgColor rgb="FFEDEDED"/>
        <bgColor rgb="FFFFFFFF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FFFF00"/>
        <bgColor rgb="FFFFFF00"/>
      </patternFill>
    </fill>
  </fills>
  <borders count="54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3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7" fillId="0" borderId="0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8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5" fillId="5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5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5" fillId="5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5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5" fillId="6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8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9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9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0" fillId="7" borderId="23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8" fillId="7" borderId="23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4" borderId="25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4" borderId="25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2" fillId="4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3" fillId="4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4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73" fontId="0" fillId="4" borderId="25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4" borderId="22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4" borderId="10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5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4" borderId="26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5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7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5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6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2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4" borderId="25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5" fillId="4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5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7" borderId="25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7" borderId="25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8" fillId="7" borderId="23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4" borderId="25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4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3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5" borderId="25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5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4" borderId="25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4" fillId="8" borderId="25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5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22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0" borderId="25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6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5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6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5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5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25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3" fillId="0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3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4" borderId="25" xfId="22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10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4" borderId="25" xfId="22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4" borderId="25" xfId="22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73" fontId="4" fillId="7" borderId="25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4" borderId="2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7" borderId="25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4" borderId="2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4" fillId="4" borderId="25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25" xfId="3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4" fillId="7" borderId="25" xfId="31" applyFont="true" applyBorder="true" applyAlignment="true" applyProtection="true">
      <alignment horizontal="left" vertical="center" textRotation="0" wrapText="true" indent="3" shrinkToFit="false"/>
      <protection locked="true" hidden="false"/>
    </xf>
    <xf numFmtId="173" fontId="4" fillId="7" borderId="25" xfId="31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4" fontId="8" fillId="7" borderId="25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8" fillId="7" borderId="29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30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8" fillId="7" borderId="29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9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8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8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8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8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7" borderId="1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71" fontId="8" fillId="7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0" fontId="8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8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8" fillId="7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31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31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31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4" borderId="0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4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8" fillId="0" borderId="45" xfId="31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6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7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7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7" xfId="31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7" xfId="31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4" borderId="47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7" xfId="31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7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47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8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0" borderId="2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75" fontId="16" fillId="0" borderId="25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16" fillId="0" borderId="0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2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6" fillId="0" borderId="2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9" fillId="4" borderId="25" xfId="3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9" fillId="4" borderId="0" xfId="3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2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3" fillId="4" borderId="25" xfId="3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13" fillId="4" borderId="0" xfId="3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4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0" fillId="4" borderId="0" xfId="0" applyFont="false" applyBorder="false" applyAlignment="true" applyProtection="true">
      <alignment horizontal="right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16" fillId="0" borderId="2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6" fillId="0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4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8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8" fillId="0" borderId="2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8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8" borderId="11" xfId="2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8" fillId="8" borderId="11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8" fillId="8" borderId="12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8" fillId="8" borderId="13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5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5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0" borderId="3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0" fillId="0" borderId="40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0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51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0" fillId="0" borderId="26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4" borderId="5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4" borderId="5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4" borderId="51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0" fillId="4" borderId="26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4" borderId="10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4" borderId="38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4" borderId="3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4" borderId="3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0" fillId="4" borderId="40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25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0" fillId="0" borderId="26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0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5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0" fillId="0" borderId="53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41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38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5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0" borderId="3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0" fillId="0" borderId="40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5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51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0" fillId="0" borderId="7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0" xfId="27" applyFont="true" applyBorder="true" applyAlignment="true" applyProtection="true">
      <alignment horizontal="left" vertical="top" textRotation="0" wrapText="true" indent="0" shrinkToFit="false"/>
      <protection locked="true" hidden="false"/>
    </xf>
    <xf numFmtId="168" fontId="20" fillId="4" borderId="7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4" borderId="5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0" fillId="4" borderId="53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4" borderId="41" xfId="27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2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2 2 2 2" xfId="23"/>
    <cellStyle name="Normal 3" xfId="24"/>
    <cellStyle name="Normal 5 2" xfId="25"/>
    <cellStyle name="Normal 5 2 2" xfId="26"/>
    <cellStyle name="Normal 6 2" xfId="27"/>
    <cellStyle name="Normal 7 2" xfId="28"/>
    <cellStyle name="Normal 7 3" xfId="29"/>
    <cellStyle name="Normal 8" xfId="30"/>
    <cellStyle name="Vírgula 2" xfId="31"/>
    <cellStyle name="Vírgula 2 13 3" xfId="32"/>
    <cellStyle name="Vírgula 5 2" xfId="33"/>
  </cellStyles>
  <dxfs count="22"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  <dxf>
      <font>
        <b val="1"/>
        <i val="0"/>
        <color rgb="FFFF0000"/>
      </font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722160</xdr:colOff>
      <xdr:row>6</xdr:row>
      <xdr:rowOff>151200</xdr:rowOff>
    </xdr:to>
    <xdr:pic>
      <xdr:nvPicPr>
        <xdr:cNvPr id="0" name="Imagem 2" descr=""/>
        <xdr:cNvPicPr/>
      </xdr:nvPicPr>
      <xdr:blipFill>
        <a:blip r:embed="rId1"/>
        <a:stretch/>
      </xdr:blipFill>
      <xdr:spPr>
        <a:xfrm>
          <a:off x="336600" y="228600"/>
          <a:ext cx="1171080" cy="107496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T139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pane xSplit="0" ySplit="8" topLeftCell="A54" activePane="bottomLeft" state="frozen"/>
      <selection pane="topLeft" activeCell="A1" activeCellId="0" sqref="A1"/>
      <selection pane="bottomLeft" activeCell="K8" activeCellId="0" sqref="K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48.14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6" min="5" style="1" width="14.14"/>
    <col collapsed="false" customWidth="true" hidden="false" outlineLevel="0" max="7" min="7" style="1" width="15.71"/>
    <col collapsed="false" customWidth="true" hidden="false" outlineLevel="0" max="8" min="8" style="1" width="10.61"/>
    <col collapsed="false" customWidth="true" hidden="false" outlineLevel="0" max="9" min="9" style="1" width="11.29"/>
    <col collapsed="false" customWidth="true" hidden="false" outlineLevel="0" max="10" min="10" style="1" width="14.71"/>
    <col collapsed="false" customWidth="true" hidden="false" outlineLevel="0" max="11" min="11" style="1" width="12.15"/>
    <col collapsed="false" customWidth="true" hidden="false" outlineLevel="0" max="12" min="12" style="1" width="13.15"/>
    <col collapsed="false" customWidth="true" hidden="false" outlineLevel="0" max="13" min="13" style="1" width="11.43"/>
    <col collapsed="false" customWidth="true" hidden="false" outlineLevel="0" max="14" min="14" style="1" width="10.29"/>
    <col collapsed="false" customWidth="true" hidden="false" outlineLevel="0" max="15" min="15" style="1" width="12.57"/>
    <col collapsed="false" customWidth="true" hidden="false" outlineLevel="0" max="16" min="16" style="1" width="9.29"/>
    <col collapsed="false" customWidth="true" hidden="false" outlineLevel="0" max="17" min="17" style="1" width="14.57"/>
    <col collapsed="false" customWidth="true" hidden="false" outlineLevel="0" max="20" min="18" style="1" width="10.57"/>
  </cols>
  <sheetData>
    <row r="1" s="5" customFormat="true" ht="12.7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 t="s">
        <v>1</v>
      </c>
      <c r="N1" s="4"/>
      <c r="O1" s="4"/>
      <c r="P1" s="4"/>
      <c r="R1" s="6"/>
      <c r="T1" s="7"/>
    </row>
    <row r="2" s="5" customFormat="true" ht="8.25" hidden="false" customHeight="true" outlineLevel="0" collapsed="false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  <c r="N2" s="4"/>
      <c r="O2" s="4"/>
      <c r="P2" s="4"/>
      <c r="R2" s="6"/>
      <c r="T2" s="7"/>
    </row>
    <row r="3" s="14" customFormat="true" ht="17.25" hidden="false" customHeight="true" outlineLevel="0" collapsed="false">
      <c r="A3" s="8" t="s">
        <v>2</v>
      </c>
      <c r="B3" s="8"/>
      <c r="C3" s="8"/>
      <c r="D3" s="9" t="s">
        <v>3</v>
      </c>
      <c r="E3" s="9"/>
      <c r="F3" s="9"/>
      <c r="G3" s="9"/>
      <c r="H3" s="10" t="s">
        <v>4</v>
      </c>
      <c r="I3" s="10"/>
      <c r="J3" s="11" t="s">
        <v>5</v>
      </c>
      <c r="K3" s="11"/>
      <c r="L3" s="11"/>
      <c r="M3" s="12" t="s">
        <v>6</v>
      </c>
      <c r="N3" s="12"/>
      <c r="O3" s="13" t="n">
        <v>44634</v>
      </c>
      <c r="P3" s="13"/>
      <c r="R3" s="15"/>
      <c r="T3" s="16"/>
    </row>
    <row r="4" s="14" customFormat="true" ht="12.75" hidden="false" customHeight="true" outlineLevel="0" collapsed="false">
      <c r="A4" s="8"/>
      <c r="B4" s="8"/>
      <c r="C4" s="8"/>
      <c r="D4" s="9"/>
      <c r="E4" s="9"/>
      <c r="F4" s="9"/>
      <c r="G4" s="9"/>
      <c r="H4" s="10"/>
      <c r="I4" s="10"/>
      <c r="J4" s="11"/>
      <c r="K4" s="11"/>
      <c r="L4" s="11"/>
      <c r="M4" s="17" t="s">
        <v>7</v>
      </c>
      <c r="N4" s="17"/>
      <c r="O4" s="18" t="n">
        <v>44998</v>
      </c>
      <c r="P4" s="18"/>
      <c r="Q4" s="19" t="n">
        <v>0.1557</v>
      </c>
      <c r="R4" s="15"/>
      <c r="T4" s="16"/>
    </row>
    <row r="5" s="14" customFormat="true" ht="43.5" hidden="false" customHeight="true" outlineLevel="0" collapsed="false">
      <c r="A5" s="20" t="s">
        <v>8</v>
      </c>
      <c r="B5" s="20"/>
      <c r="C5" s="20"/>
      <c r="D5" s="21" t="s">
        <v>9</v>
      </c>
      <c r="E5" s="21"/>
      <c r="F5" s="21"/>
      <c r="G5" s="21"/>
      <c r="H5" s="22" t="n">
        <v>44806</v>
      </c>
      <c r="I5" s="22"/>
      <c r="J5" s="23" t="s">
        <v>10</v>
      </c>
      <c r="K5" s="24" t="n">
        <v>44834</v>
      </c>
      <c r="L5" s="24"/>
      <c r="M5" s="25" t="s">
        <v>11</v>
      </c>
      <c r="N5" s="25"/>
      <c r="O5" s="26" t="s">
        <v>12</v>
      </c>
      <c r="P5" s="26"/>
      <c r="Q5" s="19" t="n">
        <v>0.2855</v>
      </c>
      <c r="R5" s="15"/>
      <c r="T5" s="16"/>
    </row>
    <row r="6" s="14" customFormat="true" ht="18.75" hidden="false" customHeight="true" outlineLevel="0" collapsed="false">
      <c r="A6" s="27" t="s">
        <v>13</v>
      </c>
      <c r="B6" s="27"/>
      <c r="C6" s="27"/>
      <c r="D6" s="27"/>
      <c r="E6" s="27"/>
      <c r="F6" s="27"/>
      <c r="G6" s="27"/>
      <c r="H6" s="28" t="str">
        <f aca="false">K7</f>
        <v>MEDIÇÃO 06</v>
      </c>
      <c r="I6" s="28"/>
      <c r="J6" s="28"/>
      <c r="K6" s="29" t="n">
        <f aca="false">N72</f>
        <v>798965.632432</v>
      </c>
      <c r="L6" s="29"/>
      <c r="M6" s="30" t="s">
        <v>14</v>
      </c>
      <c r="N6" s="31" t="n">
        <f aca="false">J72</f>
        <v>0.352567706803204</v>
      </c>
      <c r="O6" s="32" t="s">
        <v>15</v>
      </c>
      <c r="P6" s="33" t="n">
        <f aca="false">J73</f>
        <v>0.708828399628548</v>
      </c>
      <c r="R6" s="15"/>
      <c r="T6" s="16"/>
    </row>
    <row r="7" s="2" customFormat="true" ht="16.5" hidden="false" customHeight="true" outlineLevel="0" collapsed="false">
      <c r="A7" s="34" t="s">
        <v>16</v>
      </c>
      <c r="B7" s="35" t="s">
        <v>17</v>
      </c>
      <c r="C7" s="35" t="s">
        <v>18</v>
      </c>
      <c r="D7" s="36" t="s">
        <v>19</v>
      </c>
      <c r="E7" s="37" t="s">
        <v>20</v>
      </c>
      <c r="F7" s="37" t="s">
        <v>21</v>
      </c>
      <c r="G7" s="37" t="s">
        <v>22</v>
      </c>
      <c r="H7" s="38" t="s">
        <v>23</v>
      </c>
      <c r="I7" s="38"/>
      <c r="J7" s="38"/>
      <c r="K7" s="39" t="s">
        <v>24</v>
      </c>
      <c r="L7" s="39"/>
      <c r="M7" s="39"/>
      <c r="N7" s="40" t="s">
        <v>25</v>
      </c>
      <c r="O7" s="40"/>
      <c r="P7" s="40"/>
      <c r="R7" s="41"/>
      <c r="T7" s="42"/>
    </row>
    <row r="8" s="2" customFormat="true" ht="14.25" hidden="false" customHeight="true" outlineLevel="0" collapsed="false">
      <c r="A8" s="34"/>
      <c r="B8" s="35"/>
      <c r="C8" s="35"/>
      <c r="D8" s="36"/>
      <c r="E8" s="37"/>
      <c r="F8" s="37"/>
      <c r="G8" s="37"/>
      <c r="H8" s="43" t="s">
        <v>19</v>
      </c>
      <c r="I8" s="36" t="s">
        <v>26</v>
      </c>
      <c r="J8" s="44" t="s">
        <v>27</v>
      </c>
      <c r="K8" s="43" t="s">
        <v>19</v>
      </c>
      <c r="L8" s="45" t="s">
        <v>26</v>
      </c>
      <c r="M8" s="44" t="s">
        <v>27</v>
      </c>
      <c r="N8" s="46" t="s">
        <v>19</v>
      </c>
      <c r="O8" s="45" t="s">
        <v>26</v>
      </c>
      <c r="P8" s="44" t="s">
        <v>27</v>
      </c>
      <c r="Q8" s="2" t="s">
        <v>19</v>
      </c>
      <c r="R8" s="47"/>
      <c r="T8" s="42"/>
    </row>
    <row r="9" customFormat="false" ht="15" hidden="false" customHeight="false" outlineLevel="0" collapsed="false">
      <c r="A9" s="48" t="s">
        <v>28</v>
      </c>
      <c r="B9" s="49" t="s">
        <v>29</v>
      </c>
      <c r="C9" s="50"/>
      <c r="D9" s="51"/>
      <c r="E9" s="51"/>
      <c r="F9" s="51"/>
      <c r="G9" s="52"/>
      <c r="H9" s="53"/>
      <c r="I9" s="54"/>
      <c r="J9" s="55"/>
      <c r="K9" s="53"/>
      <c r="L9" s="54"/>
      <c r="M9" s="55"/>
      <c r="N9" s="54"/>
      <c r="O9" s="54"/>
      <c r="P9" s="55"/>
    </row>
    <row r="10" s="70" customFormat="true" ht="13.8" hidden="false" customHeight="false" outlineLevel="0" collapsed="false">
      <c r="A10" s="56" t="s">
        <v>30</v>
      </c>
      <c r="B10" s="57" t="s">
        <v>31</v>
      </c>
      <c r="C10" s="58" t="s">
        <v>32</v>
      </c>
      <c r="D10" s="59" t="n">
        <v>12</v>
      </c>
      <c r="E10" s="60" t="n">
        <v>307.00669</v>
      </c>
      <c r="F10" s="61" t="n">
        <v>359.191</v>
      </c>
      <c r="G10" s="62" t="n">
        <f aca="false">F10*(1+$Q$5)</f>
        <v>461.7400305</v>
      </c>
      <c r="H10" s="63" t="n">
        <v>5</v>
      </c>
      <c r="I10" s="64" t="n">
        <f aca="false">H10*G10</f>
        <v>2308.7001525</v>
      </c>
      <c r="J10" s="65" t="n">
        <f aca="false">H10/D10</f>
        <v>0.416666666666667</v>
      </c>
      <c r="K10" s="59" t="n">
        <v>1</v>
      </c>
      <c r="L10" s="66" t="n">
        <f aca="false">K10*G10</f>
        <v>461.7400305</v>
      </c>
      <c r="M10" s="65" t="n">
        <f aca="false">K10/D10</f>
        <v>0.0833333333333333</v>
      </c>
      <c r="N10" s="67" t="n">
        <f aca="false">H10+K10</f>
        <v>6</v>
      </c>
      <c r="O10" s="68" t="n">
        <f aca="false">I10+L10</f>
        <v>2770.440183</v>
      </c>
      <c r="P10" s="69" t="n">
        <f aca="false">J10+M10</f>
        <v>0.5</v>
      </c>
      <c r="S10" s="71"/>
      <c r="T10" s="71"/>
    </row>
    <row r="11" s="70" customFormat="true" ht="32.8" hidden="false" customHeight="false" outlineLevel="0" collapsed="false">
      <c r="A11" s="56" t="s">
        <v>33</v>
      </c>
      <c r="B11" s="72" t="s">
        <v>34</v>
      </c>
      <c r="C11" s="73" t="s">
        <v>32</v>
      </c>
      <c r="D11" s="61" t="n">
        <v>12</v>
      </c>
      <c r="E11" s="59" t="n">
        <v>444.205319493999</v>
      </c>
      <c r="F11" s="61" t="n">
        <v>519.712</v>
      </c>
      <c r="G11" s="62" t="n">
        <f aca="false">F11*(1+$Q$5)</f>
        <v>668.089776</v>
      </c>
      <c r="H11" s="63" t="n">
        <v>5</v>
      </c>
      <c r="I11" s="64" t="n">
        <f aca="false">H11*G11</f>
        <v>3340.44888</v>
      </c>
      <c r="J11" s="65" t="n">
        <f aca="false">H11/D11</f>
        <v>0.416666666666667</v>
      </c>
      <c r="K11" s="59" t="n">
        <v>1</v>
      </c>
      <c r="L11" s="66" t="n">
        <f aca="false">K11*G11</f>
        <v>668.089776</v>
      </c>
      <c r="M11" s="65" t="n">
        <f aca="false">K11/D11</f>
        <v>0.0833333333333333</v>
      </c>
      <c r="N11" s="67" t="n">
        <f aca="false">H11+K11</f>
        <v>6</v>
      </c>
      <c r="O11" s="68" t="n">
        <f aca="false">I11+L11</f>
        <v>4008.538656</v>
      </c>
      <c r="P11" s="69" t="n">
        <f aca="false">J11+M11</f>
        <v>0.5</v>
      </c>
      <c r="T11" s="74" t="n">
        <f aca="false">210.07/((1+$Q$5))</f>
        <v>163.41501361338</v>
      </c>
    </row>
    <row r="12" s="70" customFormat="true" ht="32.8" hidden="false" customHeight="false" outlineLevel="0" collapsed="false">
      <c r="A12" s="56" t="s">
        <v>35</v>
      </c>
      <c r="B12" s="72" t="s">
        <v>36</v>
      </c>
      <c r="C12" s="73" t="s">
        <v>32</v>
      </c>
      <c r="D12" s="61" t="n">
        <v>12</v>
      </c>
      <c r="E12" s="59" t="n">
        <v>942.5</v>
      </c>
      <c r="F12" s="61" t="n">
        <v>1102.707</v>
      </c>
      <c r="G12" s="62" t="n">
        <f aca="false">F12*(1+$Q$5)</f>
        <v>1417.5298485</v>
      </c>
      <c r="H12" s="63" t="n">
        <v>5</v>
      </c>
      <c r="I12" s="64" t="n">
        <f aca="false">H12*G12</f>
        <v>7087.6492425</v>
      </c>
      <c r="J12" s="65" t="n">
        <f aca="false">H12/D12</f>
        <v>0.416666666666667</v>
      </c>
      <c r="K12" s="59" t="n">
        <v>1</v>
      </c>
      <c r="L12" s="66" t="n">
        <f aca="false">K12*G12</f>
        <v>1417.5298485</v>
      </c>
      <c r="M12" s="65" t="n">
        <f aca="false">K12/D12</f>
        <v>0.0833333333333333</v>
      </c>
      <c r="N12" s="67" t="n">
        <f aca="false">H12+K12</f>
        <v>6</v>
      </c>
      <c r="O12" s="68" t="n">
        <f aca="false">I12+L12</f>
        <v>8505.179091</v>
      </c>
      <c r="P12" s="69" t="n">
        <f aca="false">J12+M12</f>
        <v>0.5</v>
      </c>
    </row>
    <row r="13" customFormat="false" ht="22.35" hidden="false" customHeight="false" outlineLevel="0" collapsed="false">
      <c r="A13" s="56" t="s">
        <v>37</v>
      </c>
      <c r="B13" s="72" t="s">
        <v>38</v>
      </c>
      <c r="C13" s="73" t="s">
        <v>32</v>
      </c>
      <c r="D13" s="61" t="n">
        <v>12</v>
      </c>
      <c r="E13" s="59" t="n">
        <v>457.76192020759</v>
      </c>
      <c r="F13" s="61" t="n">
        <v>535.574</v>
      </c>
      <c r="G13" s="62" t="n">
        <f aca="false">F13*(1+$Q$5)</f>
        <v>688.480377</v>
      </c>
      <c r="H13" s="63" t="n">
        <v>5</v>
      </c>
      <c r="I13" s="64" t="n">
        <f aca="false">H13*G13</f>
        <v>3442.401885</v>
      </c>
      <c r="J13" s="65" t="n">
        <f aca="false">H13/D13</f>
        <v>0.416666666666667</v>
      </c>
      <c r="K13" s="59" t="n">
        <v>1</v>
      </c>
      <c r="L13" s="66" t="n">
        <f aca="false">K13*G13</f>
        <v>688.480377</v>
      </c>
      <c r="M13" s="65" t="n">
        <f aca="false">K13/D13</f>
        <v>0.0833333333333333</v>
      </c>
      <c r="N13" s="67" t="n">
        <f aca="false">H13+K13</f>
        <v>6</v>
      </c>
      <c r="O13" s="68" t="n">
        <f aca="false">I13+L13</f>
        <v>4130.882262</v>
      </c>
      <c r="P13" s="69" t="n">
        <f aca="false">J13+M13</f>
        <v>0.5</v>
      </c>
    </row>
    <row r="14" s="70" customFormat="true" ht="22.35" hidden="false" customHeight="false" outlineLevel="0" collapsed="false">
      <c r="A14" s="56" t="s">
        <v>39</v>
      </c>
      <c r="B14" s="72" t="s">
        <v>40</v>
      </c>
      <c r="C14" s="75" t="s">
        <v>41</v>
      </c>
      <c r="D14" s="61" t="n">
        <v>1</v>
      </c>
      <c r="E14" s="59" t="n">
        <v>1293.99124229646</v>
      </c>
      <c r="F14" s="61" t="n">
        <v>1513.948</v>
      </c>
      <c r="G14" s="62" t="n">
        <f aca="false">F14*(1+$Q$5)</f>
        <v>1946.180154</v>
      </c>
      <c r="H14" s="63" t="n">
        <v>1</v>
      </c>
      <c r="I14" s="64" t="n">
        <f aca="false">H14*G14</f>
        <v>1946.180154</v>
      </c>
      <c r="J14" s="65" t="n">
        <f aca="false">H14/D14</f>
        <v>1</v>
      </c>
      <c r="K14" s="61"/>
      <c r="L14" s="66" t="n">
        <f aca="false">K14*G14</f>
        <v>0</v>
      </c>
      <c r="M14" s="65" t="n">
        <f aca="false">K14/D14</f>
        <v>0</v>
      </c>
      <c r="N14" s="67" t="n">
        <f aca="false">H14+K14</f>
        <v>1</v>
      </c>
      <c r="O14" s="68" t="n">
        <f aca="false">I14+L14</f>
        <v>1946.180154</v>
      </c>
      <c r="P14" s="69" t="n">
        <f aca="false">J14+M14</f>
        <v>1</v>
      </c>
    </row>
    <row r="15" s="70" customFormat="true" ht="32.8" hidden="false" customHeight="false" outlineLevel="0" collapsed="false">
      <c r="A15" s="56" t="s">
        <v>42</v>
      </c>
      <c r="B15" s="72" t="s">
        <v>43</v>
      </c>
      <c r="C15" s="75" t="s">
        <v>44</v>
      </c>
      <c r="D15" s="61" t="n">
        <v>15</v>
      </c>
      <c r="E15" s="59" t="n">
        <v>22.4695913071683</v>
      </c>
      <c r="F15" s="61" t="n">
        <v>26.285</v>
      </c>
      <c r="G15" s="62" t="n">
        <f aca="false">F15*(1+$Q$5)</f>
        <v>33.7893675</v>
      </c>
      <c r="H15" s="63" t="n">
        <v>15</v>
      </c>
      <c r="I15" s="64" t="n">
        <f aca="false">H15*G15+0.01</f>
        <v>506.8505125</v>
      </c>
      <c r="J15" s="65" t="n">
        <f aca="false">H15/D15</f>
        <v>1</v>
      </c>
      <c r="K15" s="61"/>
      <c r="L15" s="66" t="n">
        <f aca="false">ROUND(K15*G15,6)</f>
        <v>0</v>
      </c>
      <c r="M15" s="65" t="n">
        <f aca="false">K15/D15</f>
        <v>0</v>
      </c>
      <c r="N15" s="67" t="n">
        <f aca="false">H15+K15</f>
        <v>15</v>
      </c>
      <c r="O15" s="68" t="n">
        <f aca="false">I15+L15</f>
        <v>506.8505125</v>
      </c>
      <c r="P15" s="69" t="n">
        <f aca="false">J15+M15</f>
        <v>1</v>
      </c>
    </row>
    <row r="16" s="70" customFormat="true" ht="32.8" hidden="false" customHeight="false" outlineLevel="0" collapsed="false">
      <c r="A16" s="56" t="s">
        <v>45</v>
      </c>
      <c r="B16" s="72" t="s">
        <v>46</v>
      </c>
      <c r="C16" s="73" t="s">
        <v>44</v>
      </c>
      <c r="D16" s="61" t="n">
        <v>15</v>
      </c>
      <c r="E16" s="59" t="n">
        <v>321.621391501784</v>
      </c>
      <c r="F16" s="61" t="n">
        <v>376.289</v>
      </c>
      <c r="G16" s="62" t="n">
        <f aca="false">F16*(1+$Q$5)</f>
        <v>483.7195095</v>
      </c>
      <c r="H16" s="63" t="n">
        <v>15</v>
      </c>
      <c r="I16" s="64" t="n">
        <f aca="false">H16*G16+0.01</f>
        <v>7255.8026425</v>
      </c>
      <c r="J16" s="65" t="n">
        <f aca="false">H16/D16</f>
        <v>1</v>
      </c>
      <c r="K16" s="61"/>
      <c r="L16" s="66" t="n">
        <f aca="false">K16*G16</f>
        <v>0</v>
      </c>
      <c r="M16" s="65" t="n">
        <f aca="false">K16/D16</f>
        <v>0</v>
      </c>
      <c r="N16" s="67" t="n">
        <f aca="false">H16+K16</f>
        <v>15</v>
      </c>
      <c r="O16" s="68" t="n">
        <f aca="false">I16+L16</f>
        <v>7255.8026425</v>
      </c>
      <c r="P16" s="69" t="n">
        <f aca="false">J16+M16</f>
        <v>1</v>
      </c>
    </row>
    <row r="17" s="70" customFormat="true" ht="32.8" hidden="false" customHeight="false" outlineLevel="0" collapsed="false">
      <c r="A17" s="56" t="s">
        <v>47</v>
      </c>
      <c r="B17" s="72" t="s">
        <v>48</v>
      </c>
      <c r="C17" s="73" t="s">
        <v>49</v>
      </c>
      <c r="D17" s="61" t="n">
        <v>24</v>
      </c>
      <c r="E17" s="59" t="n">
        <v>139.677262406747</v>
      </c>
      <c r="F17" s="61" t="n">
        <v>163.415</v>
      </c>
      <c r="G17" s="62" t="n">
        <f aca="false">F17*(1+$Q$5)</f>
        <v>210.0699825</v>
      </c>
      <c r="H17" s="63" t="n">
        <v>24</v>
      </c>
      <c r="I17" s="64" t="n">
        <f aca="false">H17*G17</f>
        <v>5041.67958</v>
      </c>
      <c r="J17" s="65" t="n">
        <f aca="false">H17/D17</f>
        <v>1</v>
      </c>
      <c r="K17" s="61"/>
      <c r="L17" s="66" t="n">
        <f aca="false">K17*G17</f>
        <v>0</v>
      </c>
      <c r="M17" s="65" t="n">
        <f aca="false">K17/D17</f>
        <v>0</v>
      </c>
      <c r="N17" s="67" t="n">
        <f aca="false">H17+K17</f>
        <v>24</v>
      </c>
      <c r="O17" s="76" t="n">
        <f aca="false">I17+L17</f>
        <v>5041.67958</v>
      </c>
      <c r="P17" s="69" t="n">
        <f aca="false">J17+M17</f>
        <v>1</v>
      </c>
    </row>
    <row r="18" customFormat="false" ht="13.8" hidden="false" customHeight="false" outlineLevel="0" collapsed="false">
      <c r="A18" s="77" t="s">
        <v>50</v>
      </c>
      <c r="B18" s="78" t="s">
        <v>51</v>
      </c>
      <c r="C18" s="50"/>
      <c r="D18" s="51"/>
      <c r="E18" s="51"/>
      <c r="F18" s="51"/>
      <c r="G18" s="52"/>
      <c r="H18" s="53"/>
      <c r="I18" s="54"/>
      <c r="J18" s="55"/>
      <c r="K18" s="51"/>
      <c r="L18" s="79"/>
      <c r="M18" s="55"/>
      <c r="N18" s="54"/>
      <c r="O18" s="54"/>
      <c r="P18" s="55"/>
    </row>
    <row r="19" s="85" customFormat="true" ht="13.8" hidden="false" customHeight="false" outlineLevel="0" collapsed="false">
      <c r="A19" s="56" t="s">
        <v>52</v>
      </c>
      <c r="B19" s="72" t="s">
        <v>53</v>
      </c>
      <c r="C19" s="80" t="s">
        <v>49</v>
      </c>
      <c r="D19" s="81" t="n">
        <v>1865.6</v>
      </c>
      <c r="E19" s="59" t="n">
        <v>0.851443399286409</v>
      </c>
      <c r="F19" s="82" t="n">
        <v>0.986</v>
      </c>
      <c r="G19" s="62" t="n">
        <f aca="false">TRUNC(F19*(1+$Q$5),2)</f>
        <v>1.26</v>
      </c>
      <c r="H19" s="63" t="n">
        <v>1865</v>
      </c>
      <c r="I19" s="64" t="n">
        <f aca="false">H19*G19</f>
        <v>2349.9</v>
      </c>
      <c r="J19" s="65" t="n">
        <f aca="false">H19/D19</f>
        <v>0.999678387650086</v>
      </c>
      <c r="K19" s="81"/>
      <c r="L19" s="83" t="n">
        <f aca="false">K19*G19</f>
        <v>0</v>
      </c>
      <c r="M19" s="65" t="n">
        <f aca="false">K19/D19</f>
        <v>0</v>
      </c>
      <c r="N19" s="67" t="n">
        <f aca="false">H19+K19</f>
        <v>1865</v>
      </c>
      <c r="O19" s="84" t="n">
        <f aca="false">I19+L19</f>
        <v>2349.9</v>
      </c>
      <c r="P19" s="69" t="n">
        <f aca="false">J19+M19</f>
        <v>0.999678387650086</v>
      </c>
      <c r="S19" s="86" t="n">
        <f aca="false">3.61/((1+$Q$5))</f>
        <v>2.80824581874757</v>
      </c>
    </row>
    <row r="20" customFormat="false" ht="22.35" hidden="false" customHeight="false" outlineLevel="0" collapsed="false">
      <c r="A20" s="56" t="s">
        <v>54</v>
      </c>
      <c r="B20" s="72" t="s">
        <v>55</v>
      </c>
      <c r="C20" s="80" t="s">
        <v>56</v>
      </c>
      <c r="D20" s="81" t="n">
        <v>2550</v>
      </c>
      <c r="E20" s="59" t="n">
        <v>13.657152124554</v>
      </c>
      <c r="F20" s="82" t="n">
        <f aca="false">E20*$E$85</f>
        <v>15.801325008109</v>
      </c>
      <c r="G20" s="62" t="n">
        <f aca="false">TRUNC(F20*(1+$Q$5),2)</f>
        <v>20.31</v>
      </c>
      <c r="H20" s="63" t="n">
        <v>2550</v>
      </c>
      <c r="I20" s="64" t="n">
        <f aca="false">H20*G20</f>
        <v>51790.5</v>
      </c>
      <c r="J20" s="65" t="n">
        <f aca="false">H20/D20</f>
        <v>1</v>
      </c>
      <c r="K20" s="81"/>
      <c r="L20" s="66" t="n">
        <f aca="false">K20*G20</f>
        <v>0</v>
      </c>
      <c r="M20" s="65" t="n">
        <f aca="false">K20/D20</f>
        <v>0</v>
      </c>
      <c r="N20" s="67" t="n">
        <f aca="false">H20+K20</f>
        <v>2550</v>
      </c>
      <c r="O20" s="68" t="n">
        <f aca="false">I20+L20</f>
        <v>51790.5</v>
      </c>
      <c r="P20" s="69" t="n">
        <f aca="false">J20+M20</f>
        <v>1</v>
      </c>
    </row>
    <row r="21" s="70" customFormat="true" ht="22.35" hidden="false" customHeight="false" outlineLevel="0" collapsed="false">
      <c r="A21" s="56" t="s">
        <v>57</v>
      </c>
      <c r="B21" s="72" t="s">
        <v>58</v>
      </c>
      <c r="C21" s="80" t="s">
        <v>56</v>
      </c>
      <c r="D21" s="81" t="n">
        <v>255</v>
      </c>
      <c r="E21" s="59" t="n">
        <v>21.8991242296464</v>
      </c>
      <c r="F21" s="82" t="n">
        <f aca="false">E21*$E$85</f>
        <v>25.3372867337009</v>
      </c>
      <c r="G21" s="62" t="n">
        <f aca="false">TRUNC(F21*(1+$Q$5),2)</f>
        <v>32.57</v>
      </c>
      <c r="H21" s="63" t="n">
        <v>255</v>
      </c>
      <c r="I21" s="64" t="n">
        <f aca="false">H21*G21</f>
        <v>8305.35</v>
      </c>
      <c r="J21" s="65" t="n">
        <f aca="false">H21/D21</f>
        <v>1</v>
      </c>
      <c r="K21" s="81"/>
      <c r="L21" s="66" t="n">
        <f aca="false">K21*G21</f>
        <v>0</v>
      </c>
      <c r="M21" s="65" t="n">
        <f aca="false">K21/D21</f>
        <v>0</v>
      </c>
      <c r="N21" s="67" t="n">
        <f aca="false">H21+K21</f>
        <v>255</v>
      </c>
      <c r="O21" s="68" t="n">
        <f aca="false">I21+L21</f>
        <v>8305.35</v>
      </c>
      <c r="P21" s="69" t="n">
        <f aca="false">J21+M21</f>
        <v>1</v>
      </c>
    </row>
    <row r="22" s="70" customFormat="true" ht="22.35" hidden="false" customHeight="false" outlineLevel="0" collapsed="false">
      <c r="A22" s="56" t="s">
        <v>59</v>
      </c>
      <c r="B22" s="72" t="s">
        <v>60</v>
      </c>
      <c r="C22" s="80" t="s">
        <v>56</v>
      </c>
      <c r="D22" s="81" t="n">
        <v>153</v>
      </c>
      <c r="E22" s="59" t="n">
        <v>23.6644502108336</v>
      </c>
      <c r="F22" s="82" t="n">
        <v>27.375</v>
      </c>
      <c r="G22" s="62" t="n">
        <f aca="false">TRUNC(F22*(1+$Q$5),2)</f>
        <v>35.19</v>
      </c>
      <c r="H22" s="63" t="n">
        <v>153</v>
      </c>
      <c r="I22" s="64" t="n">
        <f aca="false">H22*G22</f>
        <v>5384.07</v>
      </c>
      <c r="J22" s="65" t="n">
        <f aca="false">H22/D22</f>
        <v>1</v>
      </c>
      <c r="K22" s="81"/>
      <c r="L22" s="66" t="n">
        <f aca="false">K22*G22</f>
        <v>0</v>
      </c>
      <c r="M22" s="65" t="n">
        <f aca="false">K22/D22</f>
        <v>0</v>
      </c>
      <c r="N22" s="67" t="n">
        <f aca="false">H22+K22</f>
        <v>153</v>
      </c>
      <c r="O22" s="68" t="n">
        <f aca="false">I22+L22</f>
        <v>5384.07</v>
      </c>
      <c r="P22" s="69" t="n">
        <f aca="false">J22+M22</f>
        <v>1</v>
      </c>
    </row>
    <row r="23" customFormat="false" ht="15" hidden="false" customHeight="false" outlineLevel="0" collapsed="false">
      <c r="A23" s="56" t="s">
        <v>61</v>
      </c>
      <c r="B23" s="72" t="s">
        <v>62</v>
      </c>
      <c r="C23" s="80" t="s">
        <v>56</v>
      </c>
      <c r="D23" s="81" t="n">
        <v>153</v>
      </c>
      <c r="E23" s="59" t="n">
        <v>29.3293869607525</v>
      </c>
      <c r="F23" s="82" t="n">
        <f aca="false">E23*$E$85</f>
        <v>33.9341007135907</v>
      </c>
      <c r="G23" s="62" t="n">
        <f aca="false">TRUNC(F23*(1+$Q$5),2)</f>
        <v>43.62</v>
      </c>
      <c r="H23" s="63" t="n">
        <v>153</v>
      </c>
      <c r="I23" s="64" t="n">
        <f aca="false">H23*G23</f>
        <v>6673.86</v>
      </c>
      <c r="J23" s="65" t="n">
        <f aca="false">H23/D23</f>
        <v>1</v>
      </c>
      <c r="K23" s="81"/>
      <c r="L23" s="66" t="n">
        <f aca="false">K23*G23</f>
        <v>0</v>
      </c>
      <c r="M23" s="65" t="n">
        <f aca="false">K23/D23</f>
        <v>0</v>
      </c>
      <c r="N23" s="67" t="n">
        <f aca="false">H23+K23</f>
        <v>153</v>
      </c>
      <c r="O23" s="68" t="n">
        <f aca="false">I23+L23</f>
        <v>6673.86</v>
      </c>
      <c r="P23" s="69" t="n">
        <f aca="false">J23+M23</f>
        <v>1</v>
      </c>
    </row>
    <row r="24" customFormat="false" ht="22.35" hidden="false" customHeight="false" outlineLevel="0" collapsed="false">
      <c r="A24" s="56" t="s">
        <v>63</v>
      </c>
      <c r="B24" s="72" t="s">
        <v>64</v>
      </c>
      <c r="C24" s="80" t="s">
        <v>49</v>
      </c>
      <c r="D24" s="81" t="n">
        <v>1865.6</v>
      </c>
      <c r="E24" s="59" t="n">
        <v>6.55043788517677</v>
      </c>
      <c r="F24" s="82" t="n">
        <f aca="false">E24*$E$85</f>
        <v>7.57885663314953</v>
      </c>
      <c r="G24" s="62" t="n">
        <f aca="false">TRUNC(F24*(1+$Q$5),2)</f>
        <v>9.74</v>
      </c>
      <c r="H24" s="63" t="n">
        <v>1865.6</v>
      </c>
      <c r="I24" s="64" t="n">
        <f aca="false">H24*G24</f>
        <v>18170.944</v>
      </c>
      <c r="J24" s="65" t="n">
        <f aca="false">H24/D24</f>
        <v>1</v>
      </c>
      <c r="K24" s="81"/>
      <c r="L24" s="66" t="n">
        <f aca="false">K24*G24</f>
        <v>0</v>
      </c>
      <c r="M24" s="65" t="n">
        <f aca="false">K24/D24</f>
        <v>0</v>
      </c>
      <c r="N24" s="67" t="n">
        <f aca="false">H24+K24</f>
        <v>1865.6</v>
      </c>
      <c r="O24" s="68" t="n">
        <f aca="false">I24+L24</f>
        <v>18170.944</v>
      </c>
      <c r="P24" s="69" t="n">
        <f aca="false">J24+M24</f>
        <v>1</v>
      </c>
    </row>
    <row r="25" s="70" customFormat="true" ht="22.35" hidden="false" customHeight="false" outlineLevel="0" collapsed="false">
      <c r="A25" s="56" t="s">
        <v>65</v>
      </c>
      <c r="B25" s="72" t="s">
        <v>66</v>
      </c>
      <c r="C25" s="80" t="s">
        <v>67</v>
      </c>
      <c r="D25" s="81" t="n">
        <v>4080</v>
      </c>
      <c r="E25" s="59" t="n">
        <v>15.8327927343497</v>
      </c>
      <c r="F25" s="82" t="n">
        <v>18.312</v>
      </c>
      <c r="G25" s="62" t="n">
        <f aca="false">TRUNC(F25*(1+$Q$5),2)</f>
        <v>23.54</v>
      </c>
      <c r="H25" s="63" t="n">
        <v>4080</v>
      </c>
      <c r="I25" s="64" t="n">
        <f aca="false">H25*G25</f>
        <v>96043.2</v>
      </c>
      <c r="J25" s="65" t="n">
        <f aca="false">H25/D25</f>
        <v>1</v>
      </c>
      <c r="K25" s="81"/>
      <c r="L25" s="66" t="n">
        <f aca="false">K25*G25</f>
        <v>0</v>
      </c>
      <c r="M25" s="65" t="n">
        <f aca="false">K25/D25</f>
        <v>0</v>
      </c>
      <c r="N25" s="67" t="n">
        <f aca="false">H25+K25</f>
        <v>4080</v>
      </c>
      <c r="O25" s="68" t="n">
        <f aca="false">I25+L25</f>
        <v>96043.2</v>
      </c>
      <c r="P25" s="69" t="n">
        <f aca="false">J25+M25</f>
        <v>1</v>
      </c>
    </row>
    <row r="26" s="70" customFormat="true" ht="22.35" hidden="false" customHeight="false" outlineLevel="0" collapsed="false">
      <c r="A26" s="56" t="s">
        <v>68</v>
      </c>
      <c r="B26" s="72" t="s">
        <v>69</v>
      </c>
      <c r="C26" s="80" t="s">
        <v>67</v>
      </c>
      <c r="D26" s="81" t="n">
        <v>1591.2</v>
      </c>
      <c r="E26" s="59" t="n">
        <v>11.7028867985728</v>
      </c>
      <c r="F26" s="82" t="n">
        <v>13.536</v>
      </c>
      <c r="G26" s="62" t="n">
        <f aca="false">TRUNC(F26*(1+$Q$5),2)</f>
        <v>17.4</v>
      </c>
      <c r="H26" s="63" t="n">
        <v>1591.2</v>
      </c>
      <c r="I26" s="64" t="n">
        <f aca="false">H26*G26</f>
        <v>27686.88</v>
      </c>
      <c r="J26" s="65" t="n">
        <f aca="false">H26/D26</f>
        <v>1</v>
      </c>
      <c r="K26" s="81"/>
      <c r="L26" s="66" t="n">
        <f aca="false">K26*G26</f>
        <v>0</v>
      </c>
      <c r="M26" s="65" t="n">
        <f aca="false">K26/D26</f>
        <v>0</v>
      </c>
      <c r="N26" s="67" t="n">
        <f aca="false">H26+K26</f>
        <v>1591.2</v>
      </c>
      <c r="O26" s="68" t="n">
        <f aca="false">I26+L26</f>
        <v>27686.88</v>
      </c>
      <c r="P26" s="69" t="n">
        <f aca="false">J26+M26</f>
        <v>1</v>
      </c>
    </row>
    <row r="27" customFormat="false" ht="36" hidden="false" customHeight="false" outlineLevel="0" collapsed="false">
      <c r="A27" s="56" t="s">
        <v>70</v>
      </c>
      <c r="B27" s="87" t="s">
        <v>71</v>
      </c>
      <c r="C27" s="80" t="s">
        <v>72</v>
      </c>
      <c r="D27" s="81" t="n">
        <v>10197.888</v>
      </c>
      <c r="E27" s="59" t="n">
        <v>1.1232</v>
      </c>
      <c r="F27" s="82" t="n">
        <f aca="false">E27*$E$85</f>
        <v>1.2995424</v>
      </c>
      <c r="G27" s="62" t="n">
        <f aca="false">TRUNC(F27*(1+$Q$5),2)</f>
        <v>1.67</v>
      </c>
      <c r="H27" s="63" t="n">
        <v>10197.81</v>
      </c>
      <c r="I27" s="64" t="n">
        <f aca="false">H27*G27</f>
        <v>17030.3427</v>
      </c>
      <c r="J27" s="65" t="n">
        <f aca="false">H27/D27</f>
        <v>0.999992351357458</v>
      </c>
      <c r="K27" s="81"/>
      <c r="L27" s="66" t="n">
        <f aca="false">K27*G27</f>
        <v>0</v>
      </c>
      <c r="M27" s="65" t="n">
        <f aca="false">K27/D27</f>
        <v>0</v>
      </c>
      <c r="N27" s="67" t="n">
        <f aca="false">H27+K27</f>
        <v>10197.81</v>
      </c>
      <c r="O27" s="68" t="n">
        <f aca="false">I27+L27</f>
        <v>17030.3427</v>
      </c>
      <c r="P27" s="69" t="n">
        <f aca="false">J27+M27</f>
        <v>0.999992351357458</v>
      </c>
    </row>
    <row r="28" s="70" customFormat="true" ht="13.8" hidden="false" customHeight="false" outlineLevel="0" collapsed="false">
      <c r="A28" s="56" t="s">
        <v>73</v>
      </c>
      <c r="B28" s="72" t="s">
        <v>74</v>
      </c>
      <c r="C28" s="80" t="s">
        <v>56</v>
      </c>
      <c r="D28" s="81" t="n">
        <v>2550</v>
      </c>
      <c r="E28" s="59" t="n">
        <v>2.4326954265326</v>
      </c>
      <c r="F28" s="82" t="n">
        <v>2.8089</v>
      </c>
      <c r="G28" s="62" t="n">
        <f aca="false">TRUNC(F28*(1+$Q$5),2)</f>
        <v>3.61</v>
      </c>
      <c r="H28" s="63" t="n">
        <v>0</v>
      </c>
      <c r="I28" s="64" t="n">
        <f aca="false">H28*G28</f>
        <v>0</v>
      </c>
      <c r="J28" s="65" t="n">
        <f aca="false">H28/D28</f>
        <v>0</v>
      </c>
      <c r="K28" s="81" t="n">
        <v>1020</v>
      </c>
      <c r="L28" s="88" t="n">
        <f aca="false">K28*G28</f>
        <v>3682.2</v>
      </c>
      <c r="M28" s="65" t="n">
        <f aca="false">K28/D28</f>
        <v>0.4</v>
      </c>
      <c r="N28" s="67" t="n">
        <f aca="false">H28+K28</f>
        <v>1020</v>
      </c>
      <c r="O28" s="68" t="n">
        <f aca="false">I28+L28</f>
        <v>3682.2</v>
      </c>
      <c r="P28" s="69" t="n">
        <f aca="false">J28+M28</f>
        <v>0.4</v>
      </c>
    </row>
    <row r="29" s="70" customFormat="true" ht="13.8" hidden="false" customHeight="false" outlineLevel="0" collapsed="false">
      <c r="A29" s="56" t="s">
        <v>75</v>
      </c>
      <c r="B29" s="72" t="s">
        <v>76</v>
      </c>
      <c r="C29" s="80" t="s">
        <v>56</v>
      </c>
      <c r="D29" s="81" t="n">
        <v>2550</v>
      </c>
      <c r="E29" s="59" t="n">
        <v>4.12747324035031</v>
      </c>
      <c r="F29" s="82" t="n">
        <v>4.769</v>
      </c>
      <c r="G29" s="62" t="n">
        <f aca="false">TRUNC(F29*(1+$Q$5),2)</f>
        <v>6.13</v>
      </c>
      <c r="H29" s="63" t="n">
        <v>0</v>
      </c>
      <c r="I29" s="64" t="n">
        <f aca="false">H29*G29</f>
        <v>0</v>
      </c>
      <c r="J29" s="65" t="n">
        <f aca="false">H29/D29</f>
        <v>0</v>
      </c>
      <c r="K29" s="81" t="n">
        <v>1020</v>
      </c>
      <c r="L29" s="88" t="n">
        <f aca="false">K29*G29</f>
        <v>6252.6</v>
      </c>
      <c r="M29" s="65" t="n">
        <f aca="false">K29/D29</f>
        <v>0.4</v>
      </c>
      <c r="N29" s="67" t="n">
        <f aca="false">H29+K29</f>
        <v>1020</v>
      </c>
      <c r="O29" s="68" t="n">
        <f aca="false">I29+L29</f>
        <v>6252.6</v>
      </c>
      <c r="P29" s="69" t="n">
        <f aca="false">J29+M29</f>
        <v>0.4</v>
      </c>
    </row>
    <row r="30" customFormat="false" ht="13.8" hidden="false" customHeight="false" outlineLevel="0" collapsed="false">
      <c r="A30" s="77" t="s">
        <v>77</v>
      </c>
      <c r="B30" s="78" t="s">
        <v>78</v>
      </c>
      <c r="C30" s="50"/>
      <c r="D30" s="51"/>
      <c r="E30" s="51"/>
      <c r="F30" s="51"/>
      <c r="G30" s="52"/>
      <c r="H30" s="53"/>
      <c r="I30" s="54"/>
      <c r="J30" s="55"/>
      <c r="K30" s="51"/>
      <c r="L30" s="79"/>
      <c r="M30" s="55"/>
      <c r="N30" s="54"/>
      <c r="O30" s="54"/>
      <c r="P30" s="55"/>
    </row>
    <row r="31" customFormat="false" ht="22.35" hidden="false" customHeight="false" outlineLevel="0" collapsed="false">
      <c r="A31" s="89" t="s">
        <v>79</v>
      </c>
      <c r="B31" s="87" t="s">
        <v>80</v>
      </c>
      <c r="C31" s="80" t="s">
        <v>44</v>
      </c>
      <c r="D31" s="61" t="n">
        <v>20</v>
      </c>
      <c r="E31" s="59" t="n">
        <v>17.6180668180344</v>
      </c>
      <c r="F31" s="82" t="n">
        <f aca="false">E31*$E$86</f>
        <v>19.996505838469</v>
      </c>
      <c r="G31" s="90" t="n">
        <f aca="false">TRUNC(F31*(1+$Q$5),2)</f>
        <v>25.7</v>
      </c>
      <c r="H31" s="63" t="n">
        <v>0</v>
      </c>
      <c r="I31" s="91" t="n">
        <f aca="false">H31*G31</f>
        <v>0</v>
      </c>
      <c r="J31" s="92" t="n">
        <f aca="false">H31/D31</f>
        <v>0</v>
      </c>
      <c r="K31" s="61"/>
      <c r="L31" s="93" t="n">
        <f aca="false">K31*G31</f>
        <v>0</v>
      </c>
      <c r="M31" s="92" t="n">
        <f aca="false">K31/D31</f>
        <v>0</v>
      </c>
      <c r="N31" s="94" t="n">
        <f aca="false">H31+K31</f>
        <v>0</v>
      </c>
      <c r="O31" s="76" t="n">
        <f aca="false">I31+L31</f>
        <v>0</v>
      </c>
      <c r="P31" s="95" t="n">
        <f aca="false">J31+M31</f>
        <v>0</v>
      </c>
    </row>
    <row r="32" s="70" customFormat="true" ht="22.35" hidden="false" customHeight="false" outlineLevel="0" collapsed="false">
      <c r="A32" s="89" t="s">
        <v>81</v>
      </c>
      <c r="B32" s="96" t="s">
        <v>82</v>
      </c>
      <c r="C32" s="97" t="s">
        <v>44</v>
      </c>
      <c r="D32" s="98" t="n">
        <v>30</v>
      </c>
      <c r="E32" s="99" t="n">
        <v>130.6242</v>
      </c>
      <c r="F32" s="100" t="n">
        <f aca="false">E32*$E$86</f>
        <v>148.258467</v>
      </c>
      <c r="G32" s="90" t="n">
        <f aca="false">TRUNC(E32*(1+$Q$5),2)</f>
        <v>167.91</v>
      </c>
      <c r="H32" s="63" t="n">
        <v>0</v>
      </c>
      <c r="I32" s="91" t="n">
        <f aca="false">H32*G32</f>
        <v>0</v>
      </c>
      <c r="J32" s="92" t="n">
        <f aca="false">H32/D32</f>
        <v>0</v>
      </c>
      <c r="K32" s="98"/>
      <c r="L32" s="93" t="n">
        <f aca="false">K32*G32</f>
        <v>0</v>
      </c>
      <c r="M32" s="92" t="n">
        <f aca="false">K32/D32</f>
        <v>0</v>
      </c>
      <c r="N32" s="94" t="n">
        <f aca="false">H32+K32</f>
        <v>0</v>
      </c>
      <c r="O32" s="76" t="n">
        <f aca="false">I32+L32</f>
        <v>0</v>
      </c>
      <c r="P32" s="95" t="n">
        <f aca="false">J32+M32</f>
        <v>0</v>
      </c>
    </row>
    <row r="33" s="70" customFormat="true" ht="13.8" hidden="false" customHeight="false" outlineLevel="0" collapsed="false">
      <c r="A33" s="56" t="s">
        <v>83</v>
      </c>
      <c r="B33" s="101" t="s">
        <v>84</v>
      </c>
      <c r="C33" s="80" t="s">
        <v>44</v>
      </c>
      <c r="D33" s="61" t="n">
        <v>170</v>
      </c>
      <c r="E33" s="59" t="n">
        <v>232.086441777489</v>
      </c>
      <c r="F33" s="82" t="n">
        <f aca="false">338.61/((1+$Q$5))</f>
        <v>263.40723453909</v>
      </c>
      <c r="G33" s="62" t="n">
        <f aca="false">TRUNC(F33*(1+$Q$5),2)</f>
        <v>338.61</v>
      </c>
      <c r="H33" s="63" t="n">
        <v>0</v>
      </c>
      <c r="I33" s="64" t="n">
        <f aca="false">H33*G33</f>
        <v>0</v>
      </c>
      <c r="J33" s="65" t="n">
        <f aca="false">H33/D33</f>
        <v>0</v>
      </c>
      <c r="K33" s="61"/>
      <c r="L33" s="93" t="n">
        <f aca="false">K33*G33</f>
        <v>0</v>
      </c>
      <c r="M33" s="65" t="n">
        <f aca="false">K33/D33</f>
        <v>0</v>
      </c>
      <c r="N33" s="67" t="n">
        <f aca="false">H33+K33</f>
        <v>0</v>
      </c>
      <c r="O33" s="76" t="n">
        <f aca="false">I33+L33</f>
        <v>0</v>
      </c>
      <c r="P33" s="69" t="n">
        <f aca="false">J33+M33</f>
        <v>0</v>
      </c>
      <c r="S33" s="74" t="n">
        <f aca="false">2767.48/((1+$Q$5))</f>
        <v>2152.84325165305</v>
      </c>
    </row>
    <row r="34" s="70" customFormat="true" ht="22.35" hidden="false" customHeight="false" outlineLevel="0" collapsed="false">
      <c r="A34" s="56" t="s">
        <v>85</v>
      </c>
      <c r="B34" s="101" t="s">
        <v>86</v>
      </c>
      <c r="C34" s="80" t="s">
        <v>87</v>
      </c>
      <c r="D34" s="61" t="n">
        <v>2</v>
      </c>
      <c r="E34" s="59" t="n">
        <v>1896.80700616283</v>
      </c>
      <c r="F34" s="82" t="n">
        <f aca="false">2767.48/((1+$Q$5))</f>
        <v>2152.84325165305</v>
      </c>
      <c r="G34" s="62" t="n">
        <f aca="false">TRUNC(F34*(1+$Q$5),2)</f>
        <v>2767.48</v>
      </c>
      <c r="H34" s="63" t="n">
        <v>0</v>
      </c>
      <c r="I34" s="64" t="n">
        <f aca="false">H34*G34</f>
        <v>0</v>
      </c>
      <c r="J34" s="65" t="n">
        <f aca="false">H34/D34</f>
        <v>0</v>
      </c>
      <c r="K34" s="61"/>
      <c r="L34" s="93" t="n">
        <f aca="false">K34*G34</f>
        <v>0</v>
      </c>
      <c r="M34" s="65" t="n">
        <f aca="false">K34/D34</f>
        <v>0</v>
      </c>
      <c r="N34" s="67" t="n">
        <f aca="false">H34+K34</f>
        <v>0</v>
      </c>
      <c r="O34" s="76" t="n">
        <f aca="false">I34+L34</f>
        <v>0</v>
      </c>
      <c r="P34" s="69" t="n">
        <f aca="false">J34+M34</f>
        <v>0</v>
      </c>
    </row>
    <row r="35" customFormat="false" ht="22.35" hidden="false" customHeight="false" outlineLevel="0" collapsed="false">
      <c r="A35" s="89" t="s">
        <v>88</v>
      </c>
      <c r="B35" s="101" t="s">
        <v>89</v>
      </c>
      <c r="C35" s="80" t="s">
        <v>87</v>
      </c>
      <c r="D35" s="61" t="n">
        <v>2</v>
      </c>
      <c r="E35" s="59" t="n">
        <v>182.069250729809</v>
      </c>
      <c r="F35" s="82" t="n">
        <f aca="false">E35*$E$86</f>
        <v>206.648599578333</v>
      </c>
      <c r="G35" s="90" t="n">
        <f aca="false">TRUNC(F35*(1+$Q$5),2)</f>
        <v>265.64</v>
      </c>
      <c r="H35" s="63" t="n">
        <v>0</v>
      </c>
      <c r="I35" s="91" t="n">
        <f aca="false">H35*G35</f>
        <v>0</v>
      </c>
      <c r="J35" s="92" t="n">
        <f aca="false">H35/D35</f>
        <v>0</v>
      </c>
      <c r="K35" s="61"/>
      <c r="L35" s="93" t="n">
        <f aca="false">K35*G35</f>
        <v>0</v>
      </c>
      <c r="M35" s="92" t="n">
        <f aca="false">K35/D35</f>
        <v>0</v>
      </c>
      <c r="N35" s="94" t="n">
        <f aca="false">H35+K35</f>
        <v>0</v>
      </c>
      <c r="O35" s="76" t="n">
        <f aca="false">I35+L35</f>
        <v>0</v>
      </c>
      <c r="P35" s="95" t="n">
        <f aca="false">J35+M35</f>
        <v>0</v>
      </c>
    </row>
    <row r="36" customFormat="false" ht="13.8" hidden="false" customHeight="false" outlineLevel="0" collapsed="false">
      <c r="A36" s="89" t="s">
        <v>90</v>
      </c>
      <c r="B36" s="101" t="s">
        <v>91</v>
      </c>
      <c r="C36" s="80" t="s">
        <v>44</v>
      </c>
      <c r="D36" s="61" t="n">
        <v>20</v>
      </c>
      <c r="E36" s="59" t="n">
        <v>88.0664936749919</v>
      </c>
      <c r="F36" s="82" t="n">
        <f aca="false">E36*$E$86</f>
        <v>99.9554703211158</v>
      </c>
      <c r="G36" s="90" t="n">
        <f aca="false">TRUNC(F36*(1+$Q$5),2)</f>
        <v>128.49</v>
      </c>
      <c r="H36" s="63" t="n">
        <v>0</v>
      </c>
      <c r="I36" s="91" t="n">
        <f aca="false">H36*G36</f>
        <v>0</v>
      </c>
      <c r="J36" s="92" t="n">
        <f aca="false">H36/D36</f>
        <v>0</v>
      </c>
      <c r="K36" s="61"/>
      <c r="L36" s="93" t="n">
        <f aca="false">K36*G36</f>
        <v>0</v>
      </c>
      <c r="M36" s="92" t="n">
        <f aca="false">K36/D36</f>
        <v>0</v>
      </c>
      <c r="N36" s="94" t="n">
        <f aca="false">H36+K36</f>
        <v>0</v>
      </c>
      <c r="O36" s="76" t="n">
        <f aca="false">I36+L36</f>
        <v>0</v>
      </c>
      <c r="P36" s="95" t="n">
        <f aca="false">J36+M36</f>
        <v>0</v>
      </c>
    </row>
    <row r="37" customFormat="false" ht="32.8" hidden="false" customHeight="false" outlineLevel="0" collapsed="false">
      <c r="A37" s="89" t="s">
        <v>92</v>
      </c>
      <c r="B37" s="101" t="s">
        <v>93</v>
      </c>
      <c r="C37" s="80" t="s">
        <v>49</v>
      </c>
      <c r="D37" s="61" t="n">
        <v>340</v>
      </c>
      <c r="E37" s="59" t="n">
        <v>26.3992864093416</v>
      </c>
      <c r="F37" s="82" t="n">
        <f aca="false">E37*$E$86</f>
        <v>29.9631900746027</v>
      </c>
      <c r="G37" s="90" t="n">
        <f aca="false">TRUNC(F37*(1+$Q$5),2)</f>
        <v>38.51</v>
      </c>
      <c r="H37" s="63" t="n">
        <v>0</v>
      </c>
      <c r="I37" s="91" t="n">
        <f aca="false">H37*G37</f>
        <v>0</v>
      </c>
      <c r="J37" s="92" t="n">
        <f aca="false">H37/D37</f>
        <v>0</v>
      </c>
      <c r="K37" s="81" t="n">
        <v>340</v>
      </c>
      <c r="L37" s="93" t="n">
        <f aca="false">K37*G37</f>
        <v>13093.4</v>
      </c>
      <c r="M37" s="92" t="n">
        <f aca="false">K37/D37</f>
        <v>1</v>
      </c>
      <c r="N37" s="94" t="n">
        <f aca="false">H37+K37</f>
        <v>340</v>
      </c>
      <c r="O37" s="76" t="n">
        <f aca="false">I37+L37</f>
        <v>13093.4</v>
      </c>
      <c r="P37" s="95" t="n">
        <f aca="false">J37+M37</f>
        <v>1</v>
      </c>
    </row>
    <row r="38" customFormat="false" ht="22.35" hidden="false" customHeight="false" outlineLevel="0" collapsed="false">
      <c r="A38" s="89" t="s">
        <v>94</v>
      </c>
      <c r="B38" s="101" t="s">
        <v>95</v>
      </c>
      <c r="C38" s="80" t="s">
        <v>56</v>
      </c>
      <c r="D38" s="61" t="n">
        <v>51</v>
      </c>
      <c r="E38" s="59" t="n">
        <v>84.3632825170289</v>
      </c>
      <c r="F38" s="82" t="n">
        <f aca="false">E38*$E$86</f>
        <v>95.7523256568278</v>
      </c>
      <c r="G38" s="90" t="n">
        <f aca="false">TRUNC(F38*(1+$Q$5),2)</f>
        <v>123.08</v>
      </c>
      <c r="H38" s="63" t="n">
        <v>0</v>
      </c>
      <c r="I38" s="91" t="n">
        <f aca="false">H38*G38</f>
        <v>0</v>
      </c>
      <c r="J38" s="92" t="n">
        <f aca="false">H38/D38</f>
        <v>0</v>
      </c>
      <c r="K38" s="81" t="n">
        <v>51</v>
      </c>
      <c r="L38" s="93" t="n">
        <f aca="false">K38*G38</f>
        <v>6277.08</v>
      </c>
      <c r="M38" s="92" t="n">
        <f aca="false">K38/D38</f>
        <v>1</v>
      </c>
      <c r="N38" s="94" t="n">
        <f aca="false">H38+K38</f>
        <v>51</v>
      </c>
      <c r="O38" s="76" t="n">
        <f aca="false">I38+L38</f>
        <v>6277.08</v>
      </c>
      <c r="P38" s="95" t="n">
        <f aca="false">J38+M38</f>
        <v>1</v>
      </c>
    </row>
    <row r="39" customFormat="false" ht="13.8" hidden="false" customHeight="false" outlineLevel="0" collapsed="false">
      <c r="A39" s="89" t="s">
        <v>96</v>
      </c>
      <c r="B39" s="101" t="s">
        <v>97</v>
      </c>
      <c r="C39" s="80" t="s">
        <v>44</v>
      </c>
      <c r="D39" s="61" t="n">
        <v>95</v>
      </c>
      <c r="E39" s="59" t="n">
        <v>47.2993837171586</v>
      </c>
      <c r="F39" s="82" t="n">
        <f aca="false">E39*$E$86</f>
        <v>53.684800518975</v>
      </c>
      <c r="G39" s="90" t="n">
        <f aca="false">TRUNC(F39*(1+$Q$5),2)</f>
        <v>69.01</v>
      </c>
      <c r="H39" s="63" t="n">
        <v>0</v>
      </c>
      <c r="I39" s="91" t="n">
        <f aca="false">H39*G39</f>
        <v>0</v>
      </c>
      <c r="J39" s="92" t="n">
        <f aca="false">H39/D39</f>
        <v>0</v>
      </c>
      <c r="K39" s="61"/>
      <c r="L39" s="93" t="n">
        <f aca="false">K39*G39</f>
        <v>0</v>
      </c>
      <c r="M39" s="92" t="n">
        <f aca="false">K39/D39</f>
        <v>0</v>
      </c>
      <c r="N39" s="94" t="n">
        <f aca="false">H39+K39</f>
        <v>0</v>
      </c>
      <c r="O39" s="76" t="n">
        <f aca="false">I39+L39</f>
        <v>0</v>
      </c>
      <c r="P39" s="95" t="n">
        <f aca="false">J39+M39</f>
        <v>0</v>
      </c>
    </row>
    <row r="40" customFormat="false" ht="13.8" hidden="false" customHeight="false" outlineLevel="0" collapsed="false">
      <c r="A40" s="89" t="s">
        <v>98</v>
      </c>
      <c r="B40" s="101" t="s">
        <v>99</v>
      </c>
      <c r="C40" s="80" t="s">
        <v>49</v>
      </c>
      <c r="D40" s="61" t="n">
        <v>142.5</v>
      </c>
      <c r="E40" s="59" t="n">
        <v>40.5207590009731</v>
      </c>
      <c r="F40" s="82" t="n">
        <f aca="false">E40*$E$86</f>
        <v>45.9910614661045</v>
      </c>
      <c r="G40" s="90" t="n">
        <f aca="false">TRUNC(F40*(1+$Q$5),2)</f>
        <v>59.12</v>
      </c>
      <c r="H40" s="63" t="n">
        <v>0</v>
      </c>
      <c r="I40" s="91" t="n">
        <f aca="false">H40*G40</f>
        <v>0</v>
      </c>
      <c r="J40" s="92" t="n">
        <f aca="false">H40/D40</f>
        <v>0</v>
      </c>
      <c r="K40" s="61"/>
      <c r="L40" s="93" t="n">
        <f aca="false">K40*G40</f>
        <v>0</v>
      </c>
      <c r="M40" s="92" t="n">
        <f aca="false">K40/D40</f>
        <v>0</v>
      </c>
      <c r="N40" s="94" t="n">
        <f aca="false">H40+K40</f>
        <v>0</v>
      </c>
      <c r="O40" s="76" t="n">
        <f aca="false">I40+L40</f>
        <v>0</v>
      </c>
      <c r="P40" s="95" t="n">
        <f aca="false">J40+M40</f>
        <v>0</v>
      </c>
    </row>
    <row r="41" customFormat="false" ht="22.35" hidden="false" customHeight="false" outlineLevel="0" collapsed="false">
      <c r="A41" s="89" t="s">
        <v>100</v>
      </c>
      <c r="B41" s="101" t="s">
        <v>101</v>
      </c>
      <c r="C41" s="80" t="s">
        <v>49</v>
      </c>
      <c r="D41" s="81" t="n">
        <v>185.25</v>
      </c>
      <c r="E41" s="59" t="n">
        <v>28.4575089198832</v>
      </c>
      <c r="F41" s="82" t="n">
        <f aca="false">E41*$E$86</f>
        <v>32.2992726240675</v>
      </c>
      <c r="G41" s="90" t="n">
        <f aca="false">TRUNC(F41*(1+$Q$5),2)</f>
        <v>41.52</v>
      </c>
      <c r="H41" s="63" t="n">
        <v>0</v>
      </c>
      <c r="I41" s="91" t="n">
        <f aca="false">H41*G41</f>
        <v>0</v>
      </c>
      <c r="J41" s="92" t="n">
        <f aca="false">H41/D41</f>
        <v>0</v>
      </c>
      <c r="K41" s="81"/>
      <c r="L41" s="93" t="n">
        <f aca="false">K41*G41</f>
        <v>0</v>
      </c>
      <c r="M41" s="92" t="n">
        <f aca="false">K41/D41</f>
        <v>0</v>
      </c>
      <c r="N41" s="94" t="n">
        <f aca="false">H41+K41</f>
        <v>0</v>
      </c>
      <c r="O41" s="76" t="n">
        <f aca="false">I41+L41</f>
        <v>0</v>
      </c>
      <c r="P41" s="95" t="n">
        <f aca="false">J41+M41</f>
        <v>0</v>
      </c>
    </row>
    <row r="42" customFormat="false" ht="22.35" hidden="false" customHeight="false" outlineLevel="0" collapsed="false">
      <c r="A42" s="89" t="s">
        <v>102</v>
      </c>
      <c r="B42" s="101" t="s">
        <v>103</v>
      </c>
      <c r="C42" s="80" t="s">
        <v>49</v>
      </c>
      <c r="D42" s="81" t="n">
        <v>559.68</v>
      </c>
      <c r="E42" s="59" t="n">
        <v>3.63963671748297</v>
      </c>
      <c r="F42" s="82" t="n">
        <f aca="false">E42*$E$86</f>
        <v>4.13098767434317</v>
      </c>
      <c r="G42" s="90" t="n">
        <f aca="false">TRUNC(F42*(1+$Q$5),2)</f>
        <v>5.31</v>
      </c>
      <c r="H42" s="102" t="n">
        <v>559.68</v>
      </c>
      <c r="I42" s="91" t="n">
        <f aca="false">H42*G42</f>
        <v>2971.9008</v>
      </c>
      <c r="J42" s="92" t="n">
        <f aca="false">H42/D42</f>
        <v>1</v>
      </c>
      <c r="K42" s="81"/>
      <c r="L42" s="93" t="n">
        <f aca="false">K42*G42</f>
        <v>0</v>
      </c>
      <c r="M42" s="92" t="n">
        <f aca="false">K42/D42</f>
        <v>0</v>
      </c>
      <c r="N42" s="94" t="n">
        <f aca="false">H42+K42</f>
        <v>559.68</v>
      </c>
      <c r="O42" s="76" t="n">
        <f aca="false">I42+L42</f>
        <v>2971.9008</v>
      </c>
      <c r="P42" s="95" t="n">
        <f aca="false">J42+M42</f>
        <v>1</v>
      </c>
    </row>
    <row r="43" customFormat="false" ht="13.8" hidden="false" customHeight="false" outlineLevel="0" collapsed="false">
      <c r="A43" s="77" t="s">
        <v>104</v>
      </c>
      <c r="B43" s="78" t="s">
        <v>105</v>
      </c>
      <c r="C43" s="50"/>
      <c r="D43" s="51"/>
      <c r="E43" s="51"/>
      <c r="F43" s="51"/>
      <c r="G43" s="52"/>
      <c r="H43" s="53"/>
      <c r="I43" s="54"/>
      <c r="J43" s="55"/>
      <c r="K43" s="51"/>
      <c r="L43" s="79"/>
      <c r="M43" s="55"/>
      <c r="N43" s="54"/>
      <c r="O43" s="54"/>
      <c r="P43" s="55"/>
    </row>
    <row r="44" s="70" customFormat="true" ht="13.8" hidden="false" customHeight="false" outlineLevel="0" collapsed="false">
      <c r="A44" s="56" t="s">
        <v>106</v>
      </c>
      <c r="B44" s="103" t="s">
        <v>107</v>
      </c>
      <c r="C44" s="80" t="s">
        <v>49</v>
      </c>
      <c r="D44" s="81" t="n">
        <v>8</v>
      </c>
      <c r="E44" s="59" t="n">
        <v>540.021894258839</v>
      </c>
      <c r="F44" s="82" t="n">
        <f aca="false">806.64/((1+$Q$5))</f>
        <v>627.491248541424</v>
      </c>
      <c r="G44" s="62" t="n">
        <f aca="false">TRUNC(F44*(1+$Q$5),2)</f>
        <v>806.64</v>
      </c>
      <c r="H44" s="63" t="n">
        <v>8</v>
      </c>
      <c r="I44" s="64" t="n">
        <f aca="false">H44*G44</f>
        <v>6453.12</v>
      </c>
      <c r="J44" s="65" t="n">
        <f aca="false">H44/D44</f>
        <v>1</v>
      </c>
      <c r="K44" s="81"/>
      <c r="L44" s="93" t="n">
        <f aca="false">K44*G44</f>
        <v>0</v>
      </c>
      <c r="M44" s="65" t="n">
        <f aca="false">K44/D44</f>
        <v>0</v>
      </c>
      <c r="N44" s="67" t="n">
        <f aca="false">H44+K44</f>
        <v>8</v>
      </c>
      <c r="O44" s="93" t="n">
        <f aca="false">I44+L44</f>
        <v>6453.12</v>
      </c>
      <c r="P44" s="69" t="n">
        <f aca="false">J44+M44</f>
        <v>1</v>
      </c>
      <c r="R44" s="74" t="n">
        <f aca="false">559.82/((1+$Q$5))</f>
        <v>435.488136911708</v>
      </c>
    </row>
    <row r="45" customFormat="false" ht="36.75" hidden="false" customHeight="false" outlineLevel="0" collapsed="false">
      <c r="A45" s="89" t="s">
        <v>108</v>
      </c>
      <c r="B45" s="104" t="s">
        <v>109</v>
      </c>
      <c r="C45" s="80" t="s">
        <v>49</v>
      </c>
      <c r="D45" s="81" t="n">
        <v>340</v>
      </c>
      <c r="E45" s="59" t="n">
        <v>36.9137204022056</v>
      </c>
      <c r="F45" s="82" t="n">
        <f aca="false">E45*$E$89</f>
        <v>42.893743107363</v>
      </c>
      <c r="G45" s="62" t="n">
        <f aca="false">TRUNC(F45*(1+$Q$5),2)</f>
        <v>55.13</v>
      </c>
      <c r="H45" s="102" t="n">
        <v>340</v>
      </c>
      <c r="I45" s="91" t="n">
        <f aca="false">H45*G45</f>
        <v>18744.2</v>
      </c>
      <c r="J45" s="92" t="n">
        <f aca="false">H45/D45</f>
        <v>1</v>
      </c>
      <c r="K45" s="81"/>
      <c r="L45" s="93" t="n">
        <f aca="false">K45*G45</f>
        <v>0</v>
      </c>
      <c r="M45" s="92" t="n">
        <f aca="false">K45/D45</f>
        <v>0</v>
      </c>
      <c r="N45" s="94" t="n">
        <f aca="false">H45+K45</f>
        <v>340</v>
      </c>
      <c r="O45" s="76" t="n">
        <f aca="false">I45+L45</f>
        <v>18744.2</v>
      </c>
      <c r="P45" s="95" t="n">
        <f aca="false">J45+M45</f>
        <v>1</v>
      </c>
    </row>
    <row r="46" customFormat="false" ht="24.75" hidden="false" customHeight="false" outlineLevel="0" collapsed="false">
      <c r="A46" s="89" t="s">
        <v>110</v>
      </c>
      <c r="B46" s="104" t="s">
        <v>111</v>
      </c>
      <c r="C46" s="80" t="s">
        <v>44</v>
      </c>
      <c r="D46" s="81" t="n">
        <v>170</v>
      </c>
      <c r="E46" s="59" t="n">
        <v>15.9171261758028</v>
      </c>
      <c r="F46" s="82" t="n">
        <f aca="false">E46*$E$89</f>
        <v>18.4957006162828</v>
      </c>
      <c r="G46" s="62" t="n">
        <f aca="false">TRUNC(F46*(1+$Q$5),2)</f>
        <v>23.77</v>
      </c>
      <c r="H46" s="102" t="n">
        <v>170</v>
      </c>
      <c r="I46" s="91" t="n">
        <f aca="false">H46*G46</f>
        <v>4040.9</v>
      </c>
      <c r="J46" s="92" t="n">
        <f aca="false">H46/D46</f>
        <v>1</v>
      </c>
      <c r="K46" s="81"/>
      <c r="L46" s="93" t="n">
        <f aca="false">K46*G46</f>
        <v>0</v>
      </c>
      <c r="M46" s="92" t="n">
        <f aca="false">K46/D46</f>
        <v>0</v>
      </c>
      <c r="N46" s="94" t="n">
        <f aca="false">H46+K46</f>
        <v>170</v>
      </c>
      <c r="O46" s="76" t="n">
        <f aca="false">I46+L46</f>
        <v>4040.9</v>
      </c>
      <c r="P46" s="95" t="n">
        <f aca="false">J46+M46</f>
        <v>1</v>
      </c>
    </row>
    <row r="47" customFormat="false" ht="13.8" hidden="false" customHeight="false" outlineLevel="0" collapsed="false">
      <c r="A47" s="77" t="s">
        <v>112</v>
      </c>
      <c r="B47" s="78" t="s">
        <v>113</v>
      </c>
      <c r="C47" s="50"/>
      <c r="D47" s="51"/>
      <c r="E47" s="51"/>
      <c r="F47" s="51"/>
      <c r="G47" s="52"/>
      <c r="H47" s="53"/>
      <c r="I47" s="54"/>
      <c r="J47" s="55"/>
      <c r="K47" s="51"/>
      <c r="L47" s="79"/>
      <c r="M47" s="55"/>
      <c r="N47" s="54"/>
      <c r="O47" s="54"/>
      <c r="P47" s="55"/>
    </row>
    <row r="48" s="85" customFormat="true" ht="13.8" hidden="false" customHeight="false" outlineLevel="0" collapsed="false">
      <c r="A48" s="56" t="s">
        <v>114</v>
      </c>
      <c r="B48" s="72" t="s">
        <v>115</v>
      </c>
      <c r="C48" s="80" t="s">
        <v>56</v>
      </c>
      <c r="D48" s="81" t="n">
        <v>96</v>
      </c>
      <c r="E48" s="59" t="n">
        <v>364.128284138826</v>
      </c>
      <c r="F48" s="82" t="n">
        <f aca="false">559.82/((1+$Q$5))</f>
        <v>435.488136911708</v>
      </c>
      <c r="G48" s="62" t="n">
        <f aca="false">TRUNC(F48*(1+$Q$5),2)</f>
        <v>559.82</v>
      </c>
      <c r="H48" s="63" t="n">
        <v>0</v>
      </c>
      <c r="I48" s="64" t="n">
        <f aca="false">H48*G48</f>
        <v>0</v>
      </c>
      <c r="J48" s="65" t="n">
        <f aca="false">H48/D48</f>
        <v>0</v>
      </c>
      <c r="K48" s="81"/>
      <c r="L48" s="93" t="n">
        <f aca="false">K48*G48</f>
        <v>0</v>
      </c>
      <c r="M48" s="65" t="n">
        <f aca="false">K48/D48</f>
        <v>0</v>
      </c>
      <c r="N48" s="67" t="n">
        <f aca="false">H48+K48</f>
        <v>0</v>
      </c>
      <c r="O48" s="76" t="n">
        <f aca="false">I48+L48</f>
        <v>0</v>
      </c>
      <c r="P48" s="69" t="n">
        <f aca="false">J48+M48</f>
        <v>0</v>
      </c>
    </row>
    <row r="49" customFormat="false" ht="22.35" hidden="false" customHeight="false" outlineLevel="0" collapsed="false">
      <c r="A49" s="89" t="s">
        <v>116</v>
      </c>
      <c r="B49" s="72" t="s">
        <v>101</v>
      </c>
      <c r="C49" s="80" t="s">
        <v>49</v>
      </c>
      <c r="D49" s="81" t="n">
        <v>2080</v>
      </c>
      <c r="E49" s="59" t="n">
        <v>27.5863606876419</v>
      </c>
      <c r="F49" s="82" t="n">
        <f aca="false">E49*$E$88</f>
        <v>32.9932873824197</v>
      </c>
      <c r="G49" s="62" t="n">
        <f aca="false">TRUNC(F49*(1+$Q$5),2)</f>
        <v>42.41</v>
      </c>
      <c r="H49" s="63" t="n">
        <v>0</v>
      </c>
      <c r="I49" s="91" t="n">
        <f aca="false">H49*G49</f>
        <v>0</v>
      </c>
      <c r="J49" s="92" t="n">
        <f aca="false">H49/D49</f>
        <v>0</v>
      </c>
      <c r="K49" s="81"/>
      <c r="L49" s="93" t="n">
        <f aca="false">K49*G49</f>
        <v>0</v>
      </c>
      <c r="M49" s="92" t="n">
        <f aca="false">K49/D49</f>
        <v>0</v>
      </c>
      <c r="N49" s="94" t="n">
        <f aca="false">H49+K49</f>
        <v>0</v>
      </c>
      <c r="O49" s="76" t="n">
        <f aca="false">I49+L49</f>
        <v>0</v>
      </c>
      <c r="P49" s="95" t="n">
        <f aca="false">J49+M49</f>
        <v>0</v>
      </c>
    </row>
    <row r="50" s="85" customFormat="true" ht="13.8" hidden="false" customHeight="false" outlineLevel="0" collapsed="false">
      <c r="A50" s="56" t="s">
        <v>117</v>
      </c>
      <c r="B50" s="72" t="s">
        <v>118</v>
      </c>
      <c r="C50" s="80" t="s">
        <v>56</v>
      </c>
      <c r="D50" s="81" t="n">
        <v>21.87866592</v>
      </c>
      <c r="E50" s="59" t="n">
        <v>223.965</v>
      </c>
      <c r="F50" s="82" t="n">
        <f aca="false">E50*$E$88</f>
        <v>267.86214</v>
      </c>
      <c r="G50" s="62" t="n">
        <f aca="false">TRUNC(F50*(1+$Q$5),2)</f>
        <v>344.33</v>
      </c>
      <c r="H50" s="63" t="n">
        <v>21.6</v>
      </c>
      <c r="I50" s="64" t="n">
        <f aca="false">H50*G50</f>
        <v>7437.528</v>
      </c>
      <c r="J50" s="65" t="n">
        <f aca="false">H50/D50</f>
        <v>0.987263121023058</v>
      </c>
      <c r="K50" s="81" t="n">
        <v>0.28</v>
      </c>
      <c r="L50" s="105" t="n">
        <f aca="false">(K50*G50)</f>
        <v>96.4124</v>
      </c>
      <c r="M50" s="65" t="n">
        <f aca="false">K50/D50</f>
        <v>0.0127978552725211</v>
      </c>
      <c r="N50" s="67" t="n">
        <f aca="false">H50+K50</f>
        <v>21.88</v>
      </c>
      <c r="O50" s="76" t="n">
        <f aca="false">I50+L50</f>
        <v>7533.9404</v>
      </c>
      <c r="P50" s="69" t="n">
        <f aca="false">J50+M50</f>
        <v>1.00006097629558</v>
      </c>
    </row>
    <row r="51" customFormat="false" ht="13.8" hidden="false" customHeight="false" outlineLevel="0" collapsed="false">
      <c r="A51" s="89" t="s">
        <v>119</v>
      </c>
      <c r="B51" s="72" t="s">
        <v>120</v>
      </c>
      <c r="C51" s="80" t="s">
        <v>44</v>
      </c>
      <c r="D51" s="81" t="n">
        <v>959.5</v>
      </c>
      <c r="E51" s="59" t="n">
        <v>18.4706454751865</v>
      </c>
      <c r="F51" s="82" t="n">
        <f aca="false">E51*$E$88</f>
        <v>22.0908919883231</v>
      </c>
      <c r="G51" s="62" t="n">
        <f aca="false">TRUNC(F51*(1+$Q$5),2)</f>
        <v>28.39</v>
      </c>
      <c r="H51" s="102" t="n">
        <v>959.5</v>
      </c>
      <c r="I51" s="91" t="n">
        <f aca="false">H51*G51</f>
        <v>27240.205</v>
      </c>
      <c r="J51" s="92" t="n">
        <f aca="false">H51/D51</f>
        <v>1</v>
      </c>
      <c r="K51" s="81"/>
      <c r="L51" s="93" t="n">
        <f aca="false">K51*G51</f>
        <v>0</v>
      </c>
      <c r="M51" s="92" t="n">
        <f aca="false">K51/D51</f>
        <v>0</v>
      </c>
      <c r="N51" s="94" t="n">
        <f aca="false">H51+K51</f>
        <v>959.5</v>
      </c>
      <c r="O51" s="76" t="n">
        <f aca="false">I51+L51</f>
        <v>27240.205</v>
      </c>
      <c r="P51" s="95" t="n">
        <f aca="false">J51+M51</f>
        <v>1</v>
      </c>
    </row>
    <row r="52" customFormat="false" ht="22.35" hidden="false" customHeight="false" outlineLevel="0" collapsed="false">
      <c r="A52" s="89" t="s">
        <v>121</v>
      </c>
      <c r="B52" s="106" t="s">
        <v>122</v>
      </c>
      <c r="C52" s="75" t="s">
        <v>49</v>
      </c>
      <c r="D52" s="81" t="n">
        <v>144.0866</v>
      </c>
      <c r="E52" s="59" t="n">
        <v>6.21991566655855</v>
      </c>
      <c r="F52" s="82" t="n">
        <f aca="false">E52*$E$88</f>
        <v>7.43901913720402</v>
      </c>
      <c r="G52" s="62" t="n">
        <f aca="false">TRUNC(F52*(1+$Q$5),2)</f>
        <v>9.56</v>
      </c>
      <c r="H52" s="102" t="n">
        <v>144.09</v>
      </c>
      <c r="I52" s="91" t="n">
        <f aca="false">H52*G52</f>
        <v>1377.5004</v>
      </c>
      <c r="J52" s="92" t="n">
        <f aca="false">H52/D52</f>
        <v>1.00002359692019</v>
      </c>
      <c r="K52" s="81"/>
      <c r="L52" s="93" t="n">
        <f aca="false">K52*G52</f>
        <v>0</v>
      </c>
      <c r="M52" s="92" t="n">
        <f aca="false">K52/D52</f>
        <v>0</v>
      </c>
      <c r="N52" s="94" t="n">
        <f aca="false">H52+K52</f>
        <v>144.09</v>
      </c>
      <c r="O52" s="76" t="n">
        <f aca="false">I52+L52</f>
        <v>1377.5004</v>
      </c>
      <c r="P52" s="95" t="n">
        <f aca="false">J52+M52</f>
        <v>1.00002359692019</v>
      </c>
    </row>
    <row r="53" customFormat="false" ht="22.35" hidden="false" customHeight="false" outlineLevel="0" collapsed="false">
      <c r="A53" s="89" t="s">
        <v>123</v>
      </c>
      <c r="B53" s="106" t="s">
        <v>124</v>
      </c>
      <c r="C53" s="75" t="s">
        <v>56</v>
      </c>
      <c r="D53" s="81" t="n">
        <v>14.0625</v>
      </c>
      <c r="E53" s="59" t="n">
        <v>82.6415828738242</v>
      </c>
      <c r="F53" s="82" t="n">
        <f aca="false">E53*$E$88</f>
        <v>98.8393331170937</v>
      </c>
      <c r="G53" s="62" t="n">
        <f aca="false">TRUNC(F53*(1+$Q$5),2)</f>
        <v>127.05</v>
      </c>
      <c r="H53" s="63" t="n">
        <v>0</v>
      </c>
      <c r="I53" s="91" t="n">
        <f aca="false">H53*G53</f>
        <v>0</v>
      </c>
      <c r="J53" s="92" t="n">
        <f aca="false">H53/D53</f>
        <v>0</v>
      </c>
      <c r="K53" s="81" t="n">
        <v>14.06</v>
      </c>
      <c r="L53" s="105" t="n">
        <f aca="false">TRUNC((K53*G53),2)</f>
        <v>1786.32</v>
      </c>
      <c r="M53" s="92" t="n">
        <f aca="false">K53/D53</f>
        <v>0.999822222222222</v>
      </c>
      <c r="N53" s="94" t="n">
        <f aca="false">H53+K53</f>
        <v>14.06</v>
      </c>
      <c r="O53" s="76" t="n">
        <f aca="false">I53+L53</f>
        <v>1786.32</v>
      </c>
      <c r="P53" s="95" t="n">
        <f aca="false">J53+M53</f>
        <v>0.999822222222222</v>
      </c>
    </row>
    <row r="54" customFormat="false" ht="22.35" hidden="false" customHeight="false" outlineLevel="0" collapsed="false">
      <c r="A54" s="89" t="s">
        <v>125</v>
      </c>
      <c r="B54" s="107" t="s">
        <v>126</v>
      </c>
      <c r="C54" s="108" t="s">
        <v>44</v>
      </c>
      <c r="D54" s="81" t="n">
        <v>2700</v>
      </c>
      <c r="E54" s="59" t="n">
        <v>38.3136</v>
      </c>
      <c r="F54" s="82" t="n">
        <f aca="false">E54*E94</f>
        <v>41.5319424</v>
      </c>
      <c r="G54" s="62" t="n">
        <f aca="false">TRUNC(F54*(1+$Q$5),2)</f>
        <v>53.38</v>
      </c>
      <c r="H54" s="102" t="n">
        <v>1665</v>
      </c>
      <c r="I54" s="91" t="n">
        <f aca="false">H54*G54</f>
        <v>88877.7</v>
      </c>
      <c r="J54" s="92" t="n">
        <f aca="false">H54/D54</f>
        <v>0.616666666666667</v>
      </c>
      <c r="K54" s="81" t="n">
        <v>1035</v>
      </c>
      <c r="L54" s="109" t="n">
        <f aca="false">K54*G54</f>
        <v>55248.3</v>
      </c>
      <c r="M54" s="92" t="n">
        <f aca="false">K54/D54</f>
        <v>0.383333333333333</v>
      </c>
      <c r="N54" s="94" t="n">
        <f aca="false">H54+K54</f>
        <v>2700</v>
      </c>
      <c r="O54" s="76" t="n">
        <f aca="false">I54+L54</f>
        <v>144126</v>
      </c>
      <c r="P54" s="95" t="n">
        <f aca="false">J54+M54</f>
        <v>1</v>
      </c>
    </row>
    <row r="55" customFormat="false" ht="15" hidden="false" customHeight="false" outlineLevel="0" collapsed="false">
      <c r="A55" s="77" t="s">
        <v>127</v>
      </c>
      <c r="B55" s="78" t="s">
        <v>128</v>
      </c>
      <c r="C55" s="50"/>
      <c r="D55" s="51"/>
      <c r="E55" s="51"/>
      <c r="F55" s="51"/>
      <c r="G55" s="52"/>
      <c r="H55" s="53"/>
      <c r="I55" s="54"/>
      <c r="J55" s="55"/>
      <c r="K55" s="51"/>
      <c r="L55" s="79"/>
      <c r="M55" s="55"/>
      <c r="N55" s="54"/>
      <c r="O55" s="54"/>
      <c r="P55" s="55"/>
    </row>
    <row r="56" customFormat="false" ht="22.35" hidden="false" customHeight="false" outlineLevel="0" collapsed="false">
      <c r="A56" s="89" t="s">
        <v>129</v>
      </c>
      <c r="B56" s="72" t="s">
        <v>130</v>
      </c>
      <c r="C56" s="80" t="s">
        <v>49</v>
      </c>
      <c r="D56" s="110" t="n">
        <v>1020</v>
      </c>
      <c r="E56" s="59" t="n">
        <v>40.6138501459617</v>
      </c>
      <c r="F56" s="82" t="n">
        <f aca="false">E56*$E$88</f>
        <v>48.5741647745702</v>
      </c>
      <c r="G56" s="62" t="n">
        <f aca="false">TRUNC(F56*(1+$Q$5),2)</f>
        <v>62.44</v>
      </c>
      <c r="H56" s="102" t="n">
        <v>513.2</v>
      </c>
      <c r="I56" s="91" t="n">
        <f aca="false">H56*G56</f>
        <v>32044.208</v>
      </c>
      <c r="J56" s="92" t="n">
        <f aca="false">H56/D56</f>
        <v>0.503137254901961</v>
      </c>
      <c r="K56" s="81" t="n">
        <v>506.8</v>
      </c>
      <c r="L56" s="105" t="n">
        <f aca="false">TRUNC(K56*G56,2)</f>
        <v>31644.59</v>
      </c>
      <c r="M56" s="92" t="n">
        <f aca="false">K56/D56</f>
        <v>0.496862745098039</v>
      </c>
      <c r="N56" s="94" t="n">
        <f aca="false">H56+K56</f>
        <v>1020</v>
      </c>
      <c r="O56" s="76" t="n">
        <f aca="false">I56+L56</f>
        <v>63688.798</v>
      </c>
      <c r="P56" s="95" t="n">
        <f aca="false">J56+M56</f>
        <v>1</v>
      </c>
    </row>
    <row r="57" customFormat="false" ht="22.35" hidden="false" customHeight="false" outlineLevel="0" collapsed="false">
      <c r="A57" s="89" t="s">
        <v>131</v>
      </c>
      <c r="B57" s="72" t="s">
        <v>132</v>
      </c>
      <c r="C57" s="80" t="s">
        <v>49</v>
      </c>
      <c r="D57" s="110" t="n">
        <v>51</v>
      </c>
      <c r="E57" s="59" t="n">
        <v>136.543139798897</v>
      </c>
      <c r="F57" s="82" t="n">
        <f aca="false">E57*$E$88</f>
        <v>163.305595199481</v>
      </c>
      <c r="G57" s="62" t="n">
        <f aca="false">TRUNC(F57*(1+$Q$5),2)</f>
        <v>209.92</v>
      </c>
      <c r="H57" s="102" t="n">
        <v>51</v>
      </c>
      <c r="I57" s="91" t="n">
        <f aca="false">H57*G57</f>
        <v>10705.92</v>
      </c>
      <c r="J57" s="92" t="n">
        <f aca="false">H57/D57</f>
        <v>1</v>
      </c>
      <c r="K57" s="81"/>
      <c r="L57" s="93" t="n">
        <f aca="false">K57*G57</f>
        <v>0</v>
      </c>
      <c r="M57" s="92" t="n">
        <f aca="false">K57/D57</f>
        <v>0</v>
      </c>
      <c r="N57" s="94" t="n">
        <f aca="false">H57+K57</f>
        <v>51</v>
      </c>
      <c r="O57" s="76" t="n">
        <f aca="false">I57+L57</f>
        <v>10705.92</v>
      </c>
      <c r="P57" s="95" t="n">
        <f aca="false">J57+M57</f>
        <v>1</v>
      </c>
    </row>
    <row r="58" s="70" customFormat="true" ht="22.35" hidden="false" customHeight="false" outlineLevel="0" collapsed="false">
      <c r="A58" s="56" t="s">
        <v>133</v>
      </c>
      <c r="B58" s="111" t="s">
        <v>134</v>
      </c>
      <c r="C58" s="80" t="s">
        <v>56</v>
      </c>
      <c r="D58" s="110" t="n">
        <v>226.36</v>
      </c>
      <c r="E58" s="59" t="n">
        <v>412.382419721051</v>
      </c>
      <c r="F58" s="82" t="n">
        <f aca="false">634.01/((1+$Q$5))</f>
        <v>493.201089070401</v>
      </c>
      <c r="G58" s="62" t="n">
        <f aca="false">TRUNC(F58*(1+$Q$5),2)</f>
        <v>634.01</v>
      </c>
      <c r="H58" s="63" t="n">
        <v>130.13</v>
      </c>
      <c r="I58" s="64" t="n">
        <f aca="false">H58*G58</f>
        <v>82503.7213</v>
      </c>
      <c r="J58" s="65" t="n">
        <f aca="false">H58/D58</f>
        <v>0.574880720975437</v>
      </c>
      <c r="K58" s="81" t="n">
        <v>96.23</v>
      </c>
      <c r="L58" s="105" t="n">
        <f aca="false">TRUNC(K58*G58,2)</f>
        <v>61010.78</v>
      </c>
      <c r="M58" s="65" t="n">
        <f aca="false">K58/D58</f>
        <v>0.425119279024563</v>
      </c>
      <c r="N58" s="67" t="n">
        <f aca="false">H58+K58</f>
        <v>226.36</v>
      </c>
      <c r="O58" s="76" t="n">
        <f aca="false">I58+L58</f>
        <v>143514.5013</v>
      </c>
      <c r="P58" s="69" t="n">
        <f aca="false">J58+M58</f>
        <v>1</v>
      </c>
      <c r="R58" s="85" t="n">
        <v>71.86</v>
      </c>
    </row>
    <row r="59" customFormat="false" ht="22.35" hidden="false" customHeight="false" outlineLevel="0" collapsed="false">
      <c r="A59" s="56" t="s">
        <v>135</v>
      </c>
      <c r="B59" s="72" t="s">
        <v>136</v>
      </c>
      <c r="C59" s="80" t="s">
        <v>44</v>
      </c>
      <c r="D59" s="110" t="n">
        <v>170</v>
      </c>
      <c r="E59" s="59" t="n">
        <v>58.6052546221213</v>
      </c>
      <c r="F59" s="82" t="n">
        <f aca="false">E59*$E$88</f>
        <v>70.0918845280571</v>
      </c>
      <c r="G59" s="62" t="n">
        <f aca="false">TRUNC(F59*(1+$Q$5),2)</f>
        <v>90.1</v>
      </c>
      <c r="H59" s="63" t="n">
        <v>170</v>
      </c>
      <c r="I59" s="64" t="n">
        <f aca="false">H59*G59</f>
        <v>15317</v>
      </c>
      <c r="J59" s="65" t="n">
        <f aca="false">H59/D59</f>
        <v>1</v>
      </c>
      <c r="K59" s="81"/>
      <c r="L59" s="93" t="n">
        <f aca="false">K59*G59</f>
        <v>0</v>
      </c>
      <c r="M59" s="65" t="n">
        <f aca="false">K59/D59</f>
        <v>0</v>
      </c>
      <c r="N59" s="67" t="n">
        <f aca="false">H59+K59</f>
        <v>170</v>
      </c>
      <c r="O59" s="76" t="n">
        <f aca="false">I59+L59</f>
        <v>15317</v>
      </c>
      <c r="P59" s="69" t="n">
        <f aca="false">J59+M59</f>
        <v>1</v>
      </c>
    </row>
    <row r="60" customFormat="false" ht="32.8" hidden="false" customHeight="false" outlineLevel="0" collapsed="false">
      <c r="A60" s="56" t="s">
        <v>137</v>
      </c>
      <c r="B60" s="72" t="s">
        <v>138</v>
      </c>
      <c r="C60" s="80" t="s">
        <v>44</v>
      </c>
      <c r="D60" s="110" t="n">
        <v>1020</v>
      </c>
      <c r="E60" s="59" t="n">
        <v>11.606389879987</v>
      </c>
      <c r="F60" s="82" t="n">
        <f aca="false">E60*$E$88</f>
        <v>13.8812422964645</v>
      </c>
      <c r="G60" s="62" t="n">
        <f aca="false">TRUNC(F60*(1+$Q$5),2)</f>
        <v>17.84</v>
      </c>
      <c r="H60" s="63" t="n">
        <v>1020</v>
      </c>
      <c r="I60" s="64" t="n">
        <f aca="false">H60*G60</f>
        <v>18196.8</v>
      </c>
      <c r="J60" s="65" t="n">
        <f aca="false">H60/D60</f>
        <v>1</v>
      </c>
      <c r="K60" s="81"/>
      <c r="L60" s="93" t="n">
        <f aca="false">K60*G60</f>
        <v>0</v>
      </c>
      <c r="M60" s="65" t="n">
        <f aca="false">K60/D60</f>
        <v>0</v>
      </c>
      <c r="N60" s="67" t="n">
        <f aca="false">H60+K60</f>
        <v>1020</v>
      </c>
      <c r="O60" s="76" t="n">
        <f aca="false">I60+L60</f>
        <v>18196.8</v>
      </c>
      <c r="P60" s="69" t="n">
        <f aca="false">J60+M60</f>
        <v>1</v>
      </c>
      <c r="R60" s="74" t="n">
        <f aca="false">634.79/((1+$Q$5))</f>
        <v>493.807856865033</v>
      </c>
    </row>
    <row r="61" customFormat="false" ht="22.35" hidden="false" customHeight="false" outlineLevel="0" collapsed="false">
      <c r="A61" s="56" t="s">
        <v>139</v>
      </c>
      <c r="B61" s="72" t="s">
        <v>140</v>
      </c>
      <c r="C61" s="80" t="s">
        <v>141</v>
      </c>
      <c r="D61" s="110" t="n">
        <v>13404</v>
      </c>
      <c r="E61" s="59" t="n">
        <v>7.96099578332793</v>
      </c>
      <c r="F61" s="82" t="n">
        <f aca="false">E61*$E$88</f>
        <v>9.5213509568602</v>
      </c>
      <c r="G61" s="62" t="n">
        <f aca="false">TRUNC(F61*(1+$Q$5),2)</f>
        <v>12.23</v>
      </c>
      <c r="H61" s="63" t="n">
        <v>13404</v>
      </c>
      <c r="I61" s="64" t="n">
        <f aca="false">H61*G61</f>
        <v>163930.92</v>
      </c>
      <c r="J61" s="65" t="n">
        <f aca="false">H61/D61</f>
        <v>1</v>
      </c>
      <c r="K61" s="81"/>
      <c r="L61" s="93" t="n">
        <f aca="false">K61*G61</f>
        <v>0</v>
      </c>
      <c r="M61" s="65" t="n">
        <f aca="false">K61/D61</f>
        <v>0</v>
      </c>
      <c r="N61" s="67" t="n">
        <f aca="false">H61+K61</f>
        <v>13404</v>
      </c>
      <c r="O61" s="76" t="n">
        <f aca="false">I61+L61</f>
        <v>163930.92</v>
      </c>
      <c r="P61" s="69" t="n">
        <f aca="false">J61+M61</f>
        <v>1</v>
      </c>
    </row>
    <row r="62" customFormat="false" ht="13.8" hidden="false" customHeight="false" outlineLevel="0" collapsed="false">
      <c r="A62" s="56" t="s">
        <v>142</v>
      </c>
      <c r="B62" s="72" t="s">
        <v>143</v>
      </c>
      <c r="C62" s="80" t="s">
        <v>87</v>
      </c>
      <c r="D62" s="110" t="n">
        <v>93</v>
      </c>
      <c r="E62" s="59" t="n">
        <v>437.1423937723</v>
      </c>
      <c r="F62" s="82" t="n">
        <f aca="false">E62*$E$88</f>
        <v>522.822302951671</v>
      </c>
      <c r="G62" s="62" t="n">
        <f aca="false">TRUNC(F62*(1+$Q$5),2)</f>
        <v>672.08</v>
      </c>
      <c r="H62" s="63" t="n">
        <v>0</v>
      </c>
      <c r="I62" s="64" t="n">
        <f aca="false">H62*G62</f>
        <v>0</v>
      </c>
      <c r="J62" s="65" t="n">
        <f aca="false">H62/D62</f>
        <v>0</v>
      </c>
      <c r="K62" s="81" t="n">
        <v>50</v>
      </c>
      <c r="L62" s="112" t="n">
        <f aca="false">TRUNC(K62*G62,2)</f>
        <v>33604</v>
      </c>
      <c r="M62" s="65" t="n">
        <f aca="false">K62/D62</f>
        <v>0.537634408602151</v>
      </c>
      <c r="N62" s="67" t="n">
        <f aca="false">H62+K62</f>
        <v>50</v>
      </c>
      <c r="O62" s="76" t="n">
        <f aca="false">I62+L62</f>
        <v>33604</v>
      </c>
      <c r="P62" s="69" t="n">
        <f aca="false">J62+M62</f>
        <v>0.537634408602151</v>
      </c>
    </row>
    <row r="63" customFormat="false" ht="32.8" hidden="false" customHeight="false" outlineLevel="0" collapsed="false">
      <c r="A63" s="56" t="s">
        <v>144</v>
      </c>
      <c r="B63" s="72" t="s">
        <v>145</v>
      </c>
      <c r="C63" s="80" t="s">
        <v>44</v>
      </c>
      <c r="D63" s="110" t="n">
        <v>1108.5</v>
      </c>
      <c r="E63" s="59" t="n">
        <v>132.403503081414</v>
      </c>
      <c r="F63" s="82" t="n">
        <f aca="false">E63*$E$88</f>
        <v>158.354589685371</v>
      </c>
      <c r="G63" s="62" t="n">
        <f aca="false">TRUNC(F63*(1+$Q$5),2)</f>
        <v>203.56</v>
      </c>
      <c r="H63" s="63" t="n">
        <v>0</v>
      </c>
      <c r="I63" s="64" t="n">
        <f aca="false">H63*G63</f>
        <v>0</v>
      </c>
      <c r="J63" s="65" t="n">
        <f aca="false">H63/D63</f>
        <v>0</v>
      </c>
      <c r="K63" s="81" t="n">
        <v>596.68</v>
      </c>
      <c r="L63" s="105" t="n">
        <f aca="false">TRUNC(K63*G63,2)</f>
        <v>121460.18</v>
      </c>
      <c r="M63" s="65" t="n">
        <f aca="false">K63/D63</f>
        <v>0.538276950834461</v>
      </c>
      <c r="N63" s="67" t="n">
        <f aca="false">H63+K63</f>
        <v>596.68</v>
      </c>
      <c r="O63" s="76" t="n">
        <f aca="false">I63+L63</f>
        <v>121460.18</v>
      </c>
      <c r="P63" s="69" t="n">
        <f aca="false">J63+M63</f>
        <v>0.538276950834461</v>
      </c>
    </row>
    <row r="64" customFormat="false" ht="13.8" hidden="false" customHeight="false" outlineLevel="0" collapsed="false">
      <c r="A64" s="56" t="s">
        <v>146</v>
      </c>
      <c r="B64" s="72" t="s">
        <v>147</v>
      </c>
      <c r="C64" s="80" t="s">
        <v>148</v>
      </c>
      <c r="D64" s="110" t="n">
        <v>136.0732246875</v>
      </c>
      <c r="E64" s="59" t="n">
        <v>28.9717807330522</v>
      </c>
      <c r="F64" s="82" t="n">
        <f aca="false">E64*$E$88</f>
        <v>34.6502497567305</v>
      </c>
      <c r="G64" s="62" t="n">
        <f aca="false">TRUNC(F64*(1+$Q$5),2)</f>
        <v>44.54</v>
      </c>
      <c r="H64" s="63" t="n">
        <v>40</v>
      </c>
      <c r="I64" s="64" t="n">
        <f aca="false">H64*G64</f>
        <v>1781.6</v>
      </c>
      <c r="J64" s="65" t="n">
        <f aca="false">H64/D64</f>
        <v>0.2939593743873</v>
      </c>
      <c r="K64" s="81" t="n">
        <v>73.32</v>
      </c>
      <c r="L64" s="105" t="n">
        <f aca="false">TRUNC(K64*G64,2)</f>
        <v>3265.67</v>
      </c>
      <c r="M64" s="65" t="n">
        <f aca="false">K64/D64</f>
        <v>0.538827533251921</v>
      </c>
      <c r="N64" s="67" t="n">
        <f aca="false">H64+K64</f>
        <v>113.32</v>
      </c>
      <c r="O64" s="76" t="n">
        <f aca="false">I64+L64</f>
        <v>5047.27</v>
      </c>
      <c r="P64" s="69" t="n">
        <f aca="false">J64+M64</f>
        <v>0.832786907639221</v>
      </c>
    </row>
    <row r="65" s="70" customFormat="true" ht="32.8" hidden="false" customHeight="false" outlineLevel="0" collapsed="false">
      <c r="A65" s="56" t="s">
        <v>149</v>
      </c>
      <c r="B65" s="72" t="s">
        <v>150</v>
      </c>
      <c r="C65" s="80" t="s">
        <v>44</v>
      </c>
      <c r="D65" s="110" t="n">
        <v>922.5</v>
      </c>
      <c r="E65" s="59" t="n">
        <v>412.891258514434</v>
      </c>
      <c r="F65" s="82" t="n">
        <f aca="false">634.79/((1+$Q$5))</f>
        <v>493.807856865033</v>
      </c>
      <c r="G65" s="62" t="n">
        <f aca="false">TRUNC(F65*(1+$Q$5),2)</f>
        <v>634.79</v>
      </c>
      <c r="H65" s="63" t="n">
        <v>0</v>
      </c>
      <c r="I65" s="64" t="n">
        <f aca="false">H65*G65</f>
        <v>0</v>
      </c>
      <c r="J65" s="65" t="n">
        <f aca="false">H65/D65</f>
        <v>0</v>
      </c>
      <c r="K65" s="81" t="n">
        <v>556.2</v>
      </c>
      <c r="L65" s="105" t="n">
        <f aca="false">TRUNC((K65*G65),2)</f>
        <v>353070.19</v>
      </c>
      <c r="M65" s="65" t="n">
        <f aca="false">K65/D65</f>
        <v>0.602926829268293</v>
      </c>
      <c r="N65" s="67" t="n">
        <f aca="false">H65+K65</f>
        <v>556.2</v>
      </c>
      <c r="O65" s="76" t="n">
        <f aca="false">I65+L65</f>
        <v>353070.19</v>
      </c>
      <c r="P65" s="69" t="n">
        <f aca="false">J65+M65</f>
        <v>0.602926829268293</v>
      </c>
    </row>
    <row r="66" customFormat="false" ht="13.8" hidden="false" customHeight="false" outlineLevel="0" collapsed="false">
      <c r="A66" s="89" t="s">
        <v>151</v>
      </c>
      <c r="B66" s="72" t="s">
        <v>152</v>
      </c>
      <c r="C66" s="80" t="s">
        <v>49</v>
      </c>
      <c r="D66" s="110" t="n">
        <v>765</v>
      </c>
      <c r="E66" s="59" t="n">
        <v>2.31592604605903</v>
      </c>
      <c r="F66" s="82" t="n">
        <f aca="false">E66*$E$88</f>
        <v>2.7698475510866</v>
      </c>
      <c r="G66" s="62" t="n">
        <f aca="false">TRUNC(F66*(1+$Q$5),2)</f>
        <v>3.56</v>
      </c>
      <c r="H66" s="102" t="n">
        <v>510</v>
      </c>
      <c r="I66" s="91" t="n">
        <f aca="false">H66*G66</f>
        <v>1815.6</v>
      </c>
      <c r="J66" s="92" t="n">
        <f aca="false">H66/D66</f>
        <v>0.666666666666667</v>
      </c>
      <c r="K66" s="81" t="n">
        <v>255</v>
      </c>
      <c r="L66" s="113" t="n">
        <f aca="false">TRUNC(K66*G66,2)</f>
        <v>907.8</v>
      </c>
      <c r="M66" s="92" t="n">
        <f aca="false">K66/D66</f>
        <v>0.333333333333333</v>
      </c>
      <c r="N66" s="94" t="n">
        <f aca="false">H66+K66</f>
        <v>765</v>
      </c>
      <c r="O66" s="76" t="n">
        <f aca="false">I66+L66</f>
        <v>2723.4</v>
      </c>
      <c r="P66" s="95" t="n">
        <f aca="false">J66+M66</f>
        <v>1</v>
      </c>
    </row>
    <row r="67" customFormat="false" ht="22.35" hidden="false" customHeight="false" outlineLevel="0" collapsed="false">
      <c r="A67" s="89" t="s">
        <v>153</v>
      </c>
      <c r="B67" s="72" t="s">
        <v>154</v>
      </c>
      <c r="C67" s="80" t="s">
        <v>56</v>
      </c>
      <c r="D67" s="110" t="n">
        <v>1275</v>
      </c>
      <c r="E67" s="59" t="n">
        <v>13.8284138825819</v>
      </c>
      <c r="F67" s="82" t="n">
        <f aca="false">E67*$E$88</f>
        <v>16.538783003568</v>
      </c>
      <c r="G67" s="62" t="n">
        <f aca="false">TRUNC(F67*(1+$Q$5),2)</f>
        <v>21.26</v>
      </c>
      <c r="H67" s="102" t="n">
        <v>637.5</v>
      </c>
      <c r="I67" s="91" t="n">
        <f aca="false">H67*G67</f>
        <v>13553.25</v>
      </c>
      <c r="J67" s="92" t="n">
        <f aca="false">H67/D67</f>
        <v>0.5</v>
      </c>
      <c r="K67" s="81" t="n">
        <v>637.5</v>
      </c>
      <c r="L67" s="114" t="n">
        <f aca="false">TRUNC(K67*G67,2)</f>
        <v>13553.25</v>
      </c>
      <c r="M67" s="92" t="n">
        <f aca="false">K67/D67</f>
        <v>0.5</v>
      </c>
      <c r="N67" s="94" t="n">
        <f aca="false">H67+K67</f>
        <v>1275</v>
      </c>
      <c r="O67" s="76" t="n">
        <f aca="false">I67+L67</f>
        <v>27106.5</v>
      </c>
      <c r="P67" s="95" t="n">
        <f aca="false">J67+M67</f>
        <v>1</v>
      </c>
    </row>
    <row r="68" customFormat="false" ht="22.35" hidden="false" customHeight="false" outlineLevel="0" collapsed="false">
      <c r="A68" s="89" t="s">
        <v>155</v>
      </c>
      <c r="B68" s="72" t="s">
        <v>156</v>
      </c>
      <c r="C68" s="80" t="s">
        <v>44</v>
      </c>
      <c r="D68" s="110" t="n">
        <v>1108.5</v>
      </c>
      <c r="E68" s="59" t="n">
        <v>93.4592928965294</v>
      </c>
      <c r="F68" s="82" t="n">
        <f aca="false">E68*$E$88</f>
        <v>111.777314304249</v>
      </c>
      <c r="G68" s="62" t="n">
        <f aca="false">TRUNC(F68*(1+$Q$5),2)</f>
        <v>143.68</v>
      </c>
      <c r="H68" s="102" t="n">
        <v>320</v>
      </c>
      <c r="I68" s="91" t="n">
        <f aca="false">H68*G68</f>
        <v>45977.6</v>
      </c>
      <c r="J68" s="92" t="n">
        <f aca="false">H68/D68</f>
        <v>0.288678394226432</v>
      </c>
      <c r="K68" s="81" t="n">
        <v>631.8</v>
      </c>
      <c r="L68" s="105" t="n">
        <f aca="false">TRUNC(K68*G68,2)</f>
        <v>90777.02</v>
      </c>
      <c r="M68" s="92" t="n">
        <f aca="false">K68/D68</f>
        <v>0.569959404600812</v>
      </c>
      <c r="N68" s="94" t="n">
        <f aca="false">H68+K68</f>
        <v>951.8</v>
      </c>
      <c r="O68" s="76" t="n">
        <f aca="false">I68+L68</f>
        <v>136754.62</v>
      </c>
      <c r="P68" s="95" t="n">
        <f aca="false">J68+M68</f>
        <v>0.858637798827244</v>
      </c>
    </row>
    <row r="69" customFormat="false" ht="15.75" hidden="false" customHeight="true" outlineLevel="0" collapsed="false">
      <c r="A69" s="115" t="s">
        <v>157</v>
      </c>
      <c r="B69" s="115"/>
      <c r="C69" s="50"/>
      <c r="D69" s="51"/>
      <c r="E69" s="51"/>
      <c r="F69" s="51"/>
      <c r="G69" s="52"/>
      <c r="H69" s="116"/>
      <c r="I69" s="117" t="n">
        <f aca="false">SUM(I10:I68)</f>
        <v>807334.433249</v>
      </c>
      <c r="J69" s="118"/>
      <c r="K69" s="116"/>
      <c r="L69" s="119" t="n">
        <f aca="false">SUM(L10:L68)</f>
        <v>798965.632432</v>
      </c>
      <c r="M69" s="118"/>
      <c r="N69" s="120"/>
      <c r="O69" s="117" t="n">
        <f aca="false">SUM(O10:O68)</f>
        <v>1606300.065681</v>
      </c>
      <c r="P69" s="118"/>
    </row>
    <row r="70" customFormat="false" ht="15.75" hidden="false" customHeight="false" outlineLevel="0" collapsed="false">
      <c r="A70" s="121"/>
      <c r="B70" s="121"/>
      <c r="C70" s="121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</row>
    <row r="71" s="2" customFormat="true" ht="15.75" hidden="false" customHeight="true" outlineLevel="0" collapsed="false">
      <c r="A71" s="122" t="s">
        <v>158</v>
      </c>
      <c r="B71" s="122"/>
      <c r="C71" s="123" t="n">
        <v>2266133.9</v>
      </c>
      <c r="D71" s="123"/>
      <c r="E71" s="124"/>
      <c r="F71" s="124"/>
      <c r="G71" s="125" t="s">
        <v>159</v>
      </c>
      <c r="H71" s="125"/>
      <c r="I71" s="125"/>
      <c r="J71" s="125"/>
      <c r="K71" s="125"/>
      <c r="L71" s="126" t="s">
        <v>160</v>
      </c>
      <c r="M71" s="126"/>
      <c r="N71" s="126"/>
      <c r="O71" s="126"/>
      <c r="P71" s="126"/>
      <c r="T71" s="42"/>
    </row>
    <row r="72" s="2" customFormat="true" ht="16.5" hidden="false" customHeight="true" outlineLevel="0" collapsed="false">
      <c r="A72" s="127"/>
      <c r="B72" s="127"/>
      <c r="C72" s="128"/>
      <c r="D72" s="128"/>
      <c r="E72" s="128"/>
      <c r="F72" s="128"/>
      <c r="G72" s="129" t="s">
        <v>161</v>
      </c>
      <c r="H72" s="130" t="str">
        <f aca="false">K7</f>
        <v>MEDIÇÃO 06</v>
      </c>
      <c r="I72" s="130"/>
      <c r="J72" s="131" t="n">
        <f aca="false">L69/C71</f>
        <v>0.352567706803204</v>
      </c>
      <c r="K72" s="131"/>
      <c r="L72" s="132" t="str">
        <f aca="false">K7</f>
        <v>MEDIÇÃO 06</v>
      </c>
      <c r="M72" s="132"/>
      <c r="N72" s="133" t="n">
        <f aca="false">L69</f>
        <v>798965.632432</v>
      </c>
      <c r="O72" s="133"/>
      <c r="P72" s="133"/>
      <c r="T72" s="42"/>
    </row>
    <row r="73" s="2" customFormat="true" ht="15" hidden="false" customHeight="true" outlineLevel="0" collapsed="false">
      <c r="A73" s="134"/>
      <c r="B73" s="134"/>
      <c r="C73" s="134"/>
      <c r="D73" s="134"/>
      <c r="E73" s="135"/>
      <c r="F73" s="135"/>
      <c r="G73" s="136" t="s">
        <v>162</v>
      </c>
      <c r="H73" s="136"/>
      <c r="I73" s="136"/>
      <c r="J73" s="137" t="n">
        <f aca="false">O69/C71</f>
        <v>0.708828399628548</v>
      </c>
      <c r="K73" s="137"/>
      <c r="L73" s="138" t="s">
        <v>163</v>
      </c>
      <c r="M73" s="138"/>
      <c r="N73" s="139" t="n">
        <f aca="false">O69</f>
        <v>1606300.065681</v>
      </c>
      <c r="O73" s="139"/>
      <c r="P73" s="139"/>
      <c r="T73" s="42"/>
    </row>
    <row r="74" s="2" customFormat="true" ht="15.75" hidden="false" customHeight="true" outlineLevel="0" collapsed="false">
      <c r="A74" s="134"/>
      <c r="B74" s="134"/>
      <c r="C74" s="134"/>
      <c r="D74" s="134"/>
      <c r="E74" s="135"/>
      <c r="F74" s="135"/>
      <c r="G74" s="140" t="s">
        <v>164</v>
      </c>
      <c r="H74" s="140"/>
      <c r="I74" s="140"/>
      <c r="J74" s="141" t="n">
        <f aca="false">100%-J73</f>
        <v>0.291171600371452</v>
      </c>
      <c r="K74" s="141"/>
      <c r="L74" s="142" t="s">
        <v>165</v>
      </c>
      <c r="M74" s="142"/>
      <c r="N74" s="143" t="n">
        <f aca="false">C71-N73</f>
        <v>659833.834319</v>
      </c>
      <c r="O74" s="143"/>
      <c r="P74" s="143"/>
      <c r="T74" s="42"/>
    </row>
    <row r="75" customFormat="false" ht="15" hidden="false" customHeight="false" outlineLevel="0" collapsed="false">
      <c r="A75" s="134"/>
      <c r="B75" s="134"/>
      <c r="C75" s="134"/>
      <c r="D75" s="134"/>
      <c r="E75" s="135"/>
      <c r="F75" s="135"/>
      <c r="G75" s="144"/>
      <c r="H75" s="145"/>
      <c r="I75" s="144"/>
      <c r="J75" s="144"/>
      <c r="K75" s="146"/>
      <c r="L75" s="147"/>
      <c r="M75" s="146"/>
      <c r="N75" s="148"/>
      <c r="O75" s="149"/>
      <c r="P75" s="150"/>
    </row>
    <row r="76" customFormat="false" ht="15" hidden="false" customHeight="false" outlineLevel="0" collapsed="false">
      <c r="A76" s="151"/>
      <c r="B76" s="151"/>
      <c r="C76" s="151"/>
      <c r="D76" s="151"/>
      <c r="E76" s="152"/>
      <c r="F76" s="152"/>
      <c r="G76" s="144"/>
      <c r="H76" s="145"/>
      <c r="I76" s="144"/>
      <c r="J76" s="144"/>
      <c r="K76" s="146"/>
      <c r="L76" s="147"/>
      <c r="M76" s="146"/>
      <c r="N76" s="148"/>
      <c r="O76" s="149"/>
      <c r="P76" s="150"/>
      <c r="R76" s="47"/>
    </row>
    <row r="77" customFormat="false" ht="15" hidden="false" customHeight="false" outlineLevel="0" collapsed="false">
      <c r="A77" s="153"/>
      <c r="B77" s="154"/>
      <c r="C77" s="155"/>
      <c r="D77" s="144"/>
      <c r="E77" s="144"/>
      <c r="F77" s="144"/>
      <c r="G77" s="144"/>
      <c r="H77" s="145"/>
      <c r="I77" s="144"/>
      <c r="J77" s="144"/>
      <c r="K77" s="146"/>
      <c r="L77" s="147"/>
      <c r="M77" s="146"/>
      <c r="N77" s="148"/>
      <c r="O77" s="149"/>
      <c r="P77" s="150"/>
      <c r="R77" s="47"/>
    </row>
    <row r="78" customFormat="false" ht="15.75" hidden="false" customHeight="true" outlineLevel="0" collapsed="false">
      <c r="A78" s="153"/>
      <c r="B78" s="154"/>
      <c r="C78" s="155"/>
      <c r="D78" s="144"/>
      <c r="E78" s="144"/>
      <c r="F78" s="144"/>
      <c r="G78" s="156" t="s">
        <v>166</v>
      </c>
      <c r="H78" s="156"/>
      <c r="I78" s="156"/>
      <c r="J78" s="156"/>
      <c r="K78" s="156"/>
      <c r="L78" s="147"/>
      <c r="M78" s="146"/>
      <c r="N78" s="148"/>
      <c r="O78" s="149"/>
      <c r="P78" s="150"/>
      <c r="R78" s="47"/>
    </row>
    <row r="79" customFormat="false" ht="16.5" hidden="false" customHeight="true" outlineLevel="0" collapsed="false">
      <c r="A79" s="157"/>
      <c r="B79" s="158"/>
      <c r="C79" s="159"/>
      <c r="D79" s="160"/>
      <c r="E79" s="160"/>
      <c r="F79" s="160"/>
      <c r="G79" s="161" t="s">
        <v>167</v>
      </c>
      <c r="H79" s="161"/>
      <c r="I79" s="161"/>
      <c r="J79" s="161"/>
      <c r="K79" s="161"/>
      <c r="L79" s="162"/>
      <c r="M79" s="163"/>
      <c r="N79" s="164"/>
      <c r="O79" s="165"/>
      <c r="P79" s="166"/>
      <c r="R79" s="47"/>
    </row>
    <row r="81" customFormat="false" ht="15" hidden="false" customHeight="false" outlineLevel="0" collapsed="false">
      <c r="N81" s="1" t="n">
        <v>2</v>
      </c>
    </row>
    <row r="82" customFormat="false" ht="15" hidden="false" customHeight="false" outlineLevel="0" collapsed="false">
      <c r="N82" s="1" t="n">
        <v>2</v>
      </c>
    </row>
    <row r="83" customFormat="false" ht="15" hidden="false" customHeight="false" outlineLevel="0" collapsed="false">
      <c r="B83" s="167" t="s">
        <v>168</v>
      </c>
      <c r="C83" s="168" t="s">
        <v>169</v>
      </c>
      <c r="D83" s="168"/>
      <c r="E83" s="168"/>
      <c r="F83" s="169"/>
      <c r="N83" s="1" t="n">
        <v>2</v>
      </c>
    </row>
    <row r="84" customFormat="false" ht="15" hidden="false" customHeight="false" outlineLevel="0" collapsed="false">
      <c r="B84" s="170" t="s">
        <v>170</v>
      </c>
      <c r="C84" s="171" t="n">
        <v>44136</v>
      </c>
      <c r="D84" s="172" t="n">
        <v>44440</v>
      </c>
      <c r="E84" s="172" t="s">
        <v>171</v>
      </c>
      <c r="F84" s="173"/>
      <c r="N84" s="1" t="n">
        <v>2</v>
      </c>
    </row>
    <row r="85" customFormat="false" ht="15" hidden="false" customHeight="false" outlineLevel="0" collapsed="false">
      <c r="B85" s="174" t="s">
        <v>172</v>
      </c>
      <c r="C85" s="174" t="n">
        <v>331.622</v>
      </c>
      <c r="D85" s="175" t="n">
        <v>383.886</v>
      </c>
      <c r="E85" s="175" t="n">
        <v>1.157</v>
      </c>
      <c r="F85" s="176"/>
      <c r="N85" s="1" t="n">
        <v>1</v>
      </c>
    </row>
    <row r="86" customFormat="false" ht="15" hidden="false" customHeight="false" outlineLevel="0" collapsed="false">
      <c r="B86" s="174" t="s">
        <v>173</v>
      </c>
      <c r="C86" s="174" t="n">
        <v>337.878</v>
      </c>
      <c r="D86" s="175" t="n">
        <v>383.705</v>
      </c>
      <c r="E86" s="175" t="n">
        <v>1.135</v>
      </c>
      <c r="F86" s="176"/>
      <c r="N86" s="1" t="n">
        <v>15</v>
      </c>
    </row>
    <row r="87" customFormat="false" ht="15" hidden="false" customHeight="false" outlineLevel="0" collapsed="false">
      <c r="B87" s="174" t="s">
        <v>174</v>
      </c>
      <c r="C87" s="174" t="n">
        <v>341.549</v>
      </c>
      <c r="D87" s="175" t="n">
        <v>388.807</v>
      </c>
      <c r="E87" s="175" t="n">
        <v>1.138</v>
      </c>
      <c r="F87" s="176"/>
      <c r="N87" s="1" t="n">
        <v>15</v>
      </c>
    </row>
    <row r="88" customFormat="false" ht="15" hidden="false" customHeight="false" outlineLevel="0" collapsed="false">
      <c r="B88" s="174" t="s">
        <v>175</v>
      </c>
      <c r="C88" s="174" t="n">
        <v>352.251</v>
      </c>
      <c r="D88" s="175" t="n">
        <v>421.46</v>
      </c>
      <c r="E88" s="175" t="n">
        <v>1.196</v>
      </c>
      <c r="F88" s="176"/>
      <c r="N88" s="1" t="n">
        <v>24</v>
      </c>
    </row>
    <row r="89" customFormat="false" ht="15" hidden="false" customHeight="false" outlineLevel="0" collapsed="false">
      <c r="B89" s="174" t="s">
        <v>176</v>
      </c>
      <c r="C89" s="174" t="n">
        <v>204.278</v>
      </c>
      <c r="D89" s="175" t="n">
        <v>237.55</v>
      </c>
      <c r="E89" s="175" t="n">
        <v>1.162</v>
      </c>
      <c r="F89" s="176"/>
    </row>
    <row r="90" customFormat="false" ht="15" hidden="false" customHeight="false" outlineLevel="0" collapsed="false">
      <c r="B90" s="174" t="s">
        <v>177</v>
      </c>
      <c r="C90" s="174" t="n">
        <v>118.205</v>
      </c>
      <c r="D90" s="175" t="n">
        <v>138.337</v>
      </c>
      <c r="E90" s="175" t="n">
        <v>1.17</v>
      </c>
      <c r="F90" s="176"/>
      <c r="N90" s="1" t="n">
        <v>1865</v>
      </c>
    </row>
    <row r="91" customFormat="false" ht="15" hidden="false" customHeight="false" outlineLevel="0" collapsed="false">
      <c r="B91" s="177" t="s">
        <v>178</v>
      </c>
      <c r="C91" s="177"/>
      <c r="D91" s="176"/>
      <c r="E91" s="176"/>
      <c r="F91" s="176"/>
      <c r="N91" s="1" t="n">
        <v>2070</v>
      </c>
    </row>
    <row r="92" customFormat="false" ht="15" hidden="false" customHeight="false" outlineLevel="0" collapsed="false">
      <c r="B92" s="178"/>
      <c r="C92" s="60"/>
      <c r="D92" s="179"/>
      <c r="E92" s="180"/>
      <c r="F92" s="180"/>
      <c r="N92" s="1" t="n">
        <v>221.28</v>
      </c>
    </row>
    <row r="93" customFormat="false" ht="15" hidden="false" customHeight="false" outlineLevel="0" collapsed="false">
      <c r="B93" s="181" t="s">
        <v>170</v>
      </c>
      <c r="C93" s="182" t="n">
        <v>44287</v>
      </c>
      <c r="D93" s="182" t="n">
        <v>44440</v>
      </c>
      <c r="E93" s="172" t="s">
        <v>171</v>
      </c>
      <c r="F93" s="173"/>
      <c r="N93" s="1" t="n">
        <v>72.96</v>
      </c>
    </row>
    <row r="94" customFormat="false" ht="15" hidden="false" customHeight="false" outlineLevel="0" collapsed="false">
      <c r="B94" s="174" t="s">
        <v>175</v>
      </c>
      <c r="C94" s="183" t="n">
        <v>388.657</v>
      </c>
      <c r="D94" s="175" t="n">
        <v>421.46</v>
      </c>
      <c r="E94" s="175" t="n">
        <f aca="false">TRUNC(D94/C94,3)</f>
        <v>1.084</v>
      </c>
      <c r="F94" s="176"/>
      <c r="N94" s="1" t="n">
        <v>72.96</v>
      </c>
    </row>
    <row r="95" customFormat="false" ht="15" hidden="false" customHeight="false" outlineLevel="0" collapsed="false">
      <c r="N95" s="1" t="n">
        <v>1865.5977</v>
      </c>
    </row>
    <row r="96" customFormat="false" ht="15" hidden="false" customHeight="false" outlineLevel="0" collapsed="false">
      <c r="N96" s="1" t="n">
        <v>0</v>
      </c>
    </row>
    <row r="97" customFormat="false" ht="15" hidden="false" customHeight="false" outlineLevel="0" collapsed="false">
      <c r="N97" s="1" t="n">
        <v>0</v>
      </c>
    </row>
    <row r="98" customFormat="false" ht="15" hidden="false" customHeight="false" outlineLevel="0" collapsed="false">
      <c r="N98" s="1" t="n">
        <v>0</v>
      </c>
    </row>
    <row r="99" customFormat="false" ht="15" hidden="false" customHeight="false" outlineLevel="0" collapsed="false">
      <c r="N99" s="1" t="n">
        <v>0</v>
      </c>
    </row>
    <row r="100" customFormat="false" ht="15" hidden="false" customHeight="false" outlineLevel="0" collapsed="false">
      <c r="N100" s="1" t="n">
        <v>0</v>
      </c>
    </row>
    <row r="102" customFormat="false" ht="15" hidden="false" customHeight="false" outlineLevel="0" collapsed="false">
      <c r="N102" s="1" t="n">
        <v>0</v>
      </c>
    </row>
    <row r="103" customFormat="false" ht="15" hidden="false" customHeight="false" outlineLevel="0" collapsed="false">
      <c r="N103" s="1" t="n">
        <v>0</v>
      </c>
    </row>
    <row r="104" customFormat="false" ht="15" hidden="false" customHeight="false" outlineLevel="0" collapsed="false">
      <c r="N104" s="1" t="n">
        <v>0</v>
      </c>
    </row>
    <row r="105" customFormat="false" ht="15" hidden="false" customHeight="false" outlineLevel="0" collapsed="false">
      <c r="N105" s="1" t="n">
        <v>0</v>
      </c>
    </row>
    <row r="106" customFormat="false" ht="15" hidden="false" customHeight="false" outlineLevel="0" collapsed="false">
      <c r="N106" s="1" t="n">
        <v>0</v>
      </c>
    </row>
    <row r="107" customFormat="false" ht="15" hidden="false" customHeight="false" outlineLevel="0" collapsed="false">
      <c r="N107" s="1" t="n">
        <v>0</v>
      </c>
    </row>
    <row r="108" customFormat="false" ht="15" hidden="false" customHeight="false" outlineLevel="0" collapsed="false">
      <c r="N108" s="1" t="n">
        <v>0</v>
      </c>
    </row>
    <row r="109" customFormat="false" ht="15" hidden="false" customHeight="false" outlineLevel="0" collapsed="false">
      <c r="N109" s="1" t="n">
        <v>0</v>
      </c>
    </row>
    <row r="110" customFormat="false" ht="15" hidden="false" customHeight="false" outlineLevel="0" collapsed="false">
      <c r="N110" s="1" t="n">
        <v>0</v>
      </c>
    </row>
    <row r="111" customFormat="false" ht="15" hidden="false" customHeight="false" outlineLevel="0" collapsed="false">
      <c r="N111" s="1" t="n">
        <v>0</v>
      </c>
    </row>
    <row r="112" customFormat="false" ht="15" hidden="false" customHeight="false" outlineLevel="0" collapsed="false">
      <c r="N112" s="1" t="n">
        <v>0</v>
      </c>
    </row>
    <row r="113" customFormat="false" ht="15" hidden="false" customHeight="false" outlineLevel="0" collapsed="false">
      <c r="N113" s="1" t="n">
        <v>0</v>
      </c>
    </row>
    <row r="115" customFormat="false" ht="15" hidden="false" customHeight="false" outlineLevel="0" collapsed="false">
      <c r="N115" s="1" t="n">
        <v>8</v>
      </c>
    </row>
    <row r="116" customFormat="false" ht="15" hidden="false" customHeight="false" outlineLevel="0" collapsed="false">
      <c r="N116" s="1" t="n">
        <v>340</v>
      </c>
    </row>
    <row r="117" customFormat="false" ht="15" hidden="false" customHeight="false" outlineLevel="0" collapsed="false">
      <c r="N117" s="1" t="n">
        <v>0</v>
      </c>
    </row>
    <row r="119" customFormat="false" ht="15" hidden="false" customHeight="false" outlineLevel="0" collapsed="false">
      <c r="N119" s="1" t="n">
        <v>0</v>
      </c>
    </row>
    <row r="120" customFormat="false" ht="15" hidden="false" customHeight="false" outlineLevel="0" collapsed="false">
      <c r="N120" s="1" t="n">
        <v>0</v>
      </c>
    </row>
    <row r="121" customFormat="false" ht="15" hidden="false" customHeight="false" outlineLevel="0" collapsed="false">
      <c r="N121" s="1" t="n">
        <v>0</v>
      </c>
    </row>
    <row r="122" customFormat="false" ht="15" hidden="false" customHeight="false" outlineLevel="0" collapsed="false">
      <c r="N122" s="1" t="n">
        <v>0</v>
      </c>
    </row>
    <row r="123" customFormat="false" ht="15" hidden="false" customHeight="false" outlineLevel="0" collapsed="false">
      <c r="N123" s="1" t="n">
        <v>0</v>
      </c>
    </row>
    <row r="124" customFormat="false" ht="15" hidden="false" customHeight="false" outlineLevel="0" collapsed="false">
      <c r="N124" s="1" t="n">
        <v>0</v>
      </c>
    </row>
    <row r="125" customFormat="false" ht="15" hidden="false" customHeight="false" outlineLevel="0" collapsed="false">
      <c r="N125" s="1" t="n">
        <v>0</v>
      </c>
    </row>
    <row r="127" customFormat="false" ht="15" hidden="false" customHeight="false" outlineLevel="0" collapsed="false">
      <c r="N127" s="1" t="n">
        <v>0</v>
      </c>
    </row>
    <row r="128" customFormat="false" ht="15" hidden="false" customHeight="false" outlineLevel="0" collapsed="false">
      <c r="N128" s="1" t="n">
        <v>0</v>
      </c>
    </row>
    <row r="129" customFormat="false" ht="15" hidden="false" customHeight="false" outlineLevel="0" collapsed="false">
      <c r="N129" s="1" t="n">
        <v>0</v>
      </c>
    </row>
    <row r="130" customFormat="false" ht="15" hidden="false" customHeight="false" outlineLevel="0" collapsed="false">
      <c r="N130" s="1" t="n">
        <v>0</v>
      </c>
    </row>
    <row r="131" customFormat="false" ht="15" hidden="false" customHeight="false" outlineLevel="0" collapsed="false">
      <c r="N131" s="1" t="n">
        <v>0</v>
      </c>
    </row>
    <row r="132" customFormat="false" ht="15" hidden="false" customHeight="false" outlineLevel="0" collapsed="false">
      <c r="N132" s="1" t="n">
        <v>0</v>
      </c>
    </row>
    <row r="133" customFormat="false" ht="15" hidden="false" customHeight="false" outlineLevel="0" collapsed="false">
      <c r="N133" s="1" t="n">
        <v>0</v>
      </c>
    </row>
    <row r="134" customFormat="false" ht="15" hidden="false" customHeight="false" outlineLevel="0" collapsed="false">
      <c r="N134" s="1" t="n">
        <v>0</v>
      </c>
    </row>
    <row r="135" customFormat="false" ht="15" hidden="false" customHeight="false" outlineLevel="0" collapsed="false">
      <c r="N135" s="1" t="n">
        <v>0</v>
      </c>
    </row>
    <row r="136" customFormat="false" ht="15" hidden="false" customHeight="false" outlineLevel="0" collapsed="false">
      <c r="N136" s="1" t="n">
        <v>0</v>
      </c>
    </row>
    <row r="137" customFormat="false" ht="15" hidden="false" customHeight="false" outlineLevel="0" collapsed="false">
      <c r="N137" s="1" t="n">
        <v>0</v>
      </c>
    </row>
    <row r="138" customFormat="false" ht="15" hidden="false" customHeight="false" outlineLevel="0" collapsed="false">
      <c r="N138" s="1" t="n">
        <v>0</v>
      </c>
    </row>
    <row r="139" customFormat="false" ht="15" hidden="false" customHeight="false" outlineLevel="0" collapsed="false">
      <c r="N139" s="1" t="n">
        <v>0</v>
      </c>
    </row>
  </sheetData>
  <mergeCells count="54">
    <mergeCell ref="A1:L2"/>
    <mergeCell ref="M1:P2"/>
    <mergeCell ref="A3:C4"/>
    <mergeCell ref="D3:G4"/>
    <mergeCell ref="H3:I4"/>
    <mergeCell ref="J3:L4"/>
    <mergeCell ref="M3:N3"/>
    <mergeCell ref="O3:P3"/>
    <mergeCell ref="M4:N4"/>
    <mergeCell ref="O4:P4"/>
    <mergeCell ref="A5:C5"/>
    <mergeCell ref="D5:G5"/>
    <mergeCell ref="H5:I5"/>
    <mergeCell ref="K5:L5"/>
    <mergeCell ref="M5:N5"/>
    <mergeCell ref="O5:P5"/>
    <mergeCell ref="A6:G6"/>
    <mergeCell ref="H6:J6"/>
    <mergeCell ref="K6:L6"/>
    <mergeCell ref="A7:A8"/>
    <mergeCell ref="B7:B8"/>
    <mergeCell ref="C7:C8"/>
    <mergeCell ref="D7:D8"/>
    <mergeCell ref="E7:E8"/>
    <mergeCell ref="F7:F8"/>
    <mergeCell ref="G7:G8"/>
    <mergeCell ref="H7:J7"/>
    <mergeCell ref="K7:M7"/>
    <mergeCell ref="N7:P7"/>
    <mergeCell ref="A69:B69"/>
    <mergeCell ref="A70:P70"/>
    <mergeCell ref="A71:B71"/>
    <mergeCell ref="C71:D71"/>
    <mergeCell ref="G71:K71"/>
    <mergeCell ref="L71:P71"/>
    <mergeCell ref="A72:B72"/>
    <mergeCell ref="C72:D72"/>
    <mergeCell ref="H72:I72"/>
    <mergeCell ref="J72:K72"/>
    <mergeCell ref="L72:M72"/>
    <mergeCell ref="N72:P72"/>
    <mergeCell ref="A73:D75"/>
    <mergeCell ref="G73:I73"/>
    <mergeCell ref="J73:K73"/>
    <mergeCell ref="L73:M73"/>
    <mergeCell ref="N73:P73"/>
    <mergeCell ref="G74:I74"/>
    <mergeCell ref="J74:K74"/>
    <mergeCell ref="L74:M74"/>
    <mergeCell ref="N74:P74"/>
    <mergeCell ref="A76:D76"/>
    <mergeCell ref="G78:K78"/>
    <mergeCell ref="G79:K79"/>
    <mergeCell ref="C83:E83"/>
  </mergeCells>
  <conditionalFormatting sqref="P10:P15">
    <cfRule type="cellIs" priority="2" operator="greaterThan" aboveAverage="0" equalAverage="0" bottom="0" percent="0" rank="0" text="" dxfId="0">
      <formula>0.9</formula>
    </cfRule>
  </conditionalFormatting>
  <conditionalFormatting sqref="P19:P29">
    <cfRule type="cellIs" priority="3" operator="greaterThan" aboveAverage="0" equalAverage="0" bottom="0" percent="0" rank="0" text="" dxfId="1">
      <formula>0.9</formula>
    </cfRule>
  </conditionalFormatting>
  <conditionalFormatting sqref="P31:P32 P42">
    <cfRule type="cellIs" priority="4" operator="greaterThan" aboveAverage="0" equalAverage="0" bottom="0" percent="0" rank="0" text="" dxfId="2">
      <formula>0.9</formula>
    </cfRule>
  </conditionalFormatting>
  <conditionalFormatting sqref="P44:P46">
    <cfRule type="cellIs" priority="5" operator="greaterThan" aboveAverage="0" equalAverage="0" bottom="0" percent="0" rank="0" text="" dxfId="3">
      <formula>0.9</formula>
    </cfRule>
  </conditionalFormatting>
  <conditionalFormatting sqref="P48:P54">
    <cfRule type="cellIs" priority="6" operator="greaterThan" aboveAverage="0" equalAverage="0" bottom="0" percent="0" rank="0" text="" dxfId="4">
      <formula>0.9</formula>
    </cfRule>
  </conditionalFormatting>
  <conditionalFormatting sqref="P56:P59">
    <cfRule type="cellIs" priority="7" operator="greaterThan" aboveAverage="0" equalAverage="0" bottom="0" percent="0" rank="0" text="" dxfId="5">
      <formula>0.9</formula>
    </cfRule>
  </conditionalFormatting>
  <conditionalFormatting sqref="P60:P63 P68">
    <cfRule type="cellIs" priority="8" operator="greaterThan" aboveAverage="0" equalAverage="0" bottom="0" percent="0" rank="0" text="" dxfId="6">
      <formula>0.9</formula>
    </cfRule>
  </conditionalFormatting>
  <conditionalFormatting sqref="P16">
    <cfRule type="cellIs" priority="9" operator="greaterThan" aboveAverage="0" equalAverage="0" bottom="0" percent="0" rank="0" text="" dxfId="7">
      <formula>0.9</formula>
    </cfRule>
  </conditionalFormatting>
  <conditionalFormatting sqref="P17">
    <cfRule type="cellIs" priority="10" operator="greaterThan" aboveAverage="0" equalAverage="0" bottom="0" percent="0" rank="0" text="" dxfId="8">
      <formula>0.9</formula>
    </cfRule>
  </conditionalFormatting>
  <conditionalFormatting sqref="P33">
    <cfRule type="cellIs" priority="11" operator="greaterThan" aboveAverage="0" equalAverage="0" bottom="0" percent="0" rank="0" text="" dxfId="9">
      <formula>0.9</formula>
    </cfRule>
  </conditionalFormatting>
  <conditionalFormatting sqref="P34">
    <cfRule type="cellIs" priority="12" operator="greaterThan" aboveAverage="0" equalAverage="0" bottom="0" percent="0" rank="0" text="" dxfId="10">
      <formula>0.9</formula>
    </cfRule>
  </conditionalFormatting>
  <conditionalFormatting sqref="P35">
    <cfRule type="cellIs" priority="13" operator="greaterThan" aboveAverage="0" equalAverage="0" bottom="0" percent="0" rank="0" text="" dxfId="11">
      <formula>0.9</formula>
    </cfRule>
  </conditionalFormatting>
  <conditionalFormatting sqref="P36">
    <cfRule type="cellIs" priority="14" operator="greaterThan" aboveAverage="0" equalAverage="0" bottom="0" percent="0" rank="0" text="" dxfId="12">
      <formula>0.9</formula>
    </cfRule>
  </conditionalFormatting>
  <conditionalFormatting sqref="P37">
    <cfRule type="cellIs" priority="15" operator="greaterThan" aboveAverage="0" equalAverage="0" bottom="0" percent="0" rank="0" text="" dxfId="13">
      <formula>0.9</formula>
    </cfRule>
  </conditionalFormatting>
  <conditionalFormatting sqref="P38">
    <cfRule type="cellIs" priority="16" operator="greaterThan" aboveAverage="0" equalAverage="0" bottom="0" percent="0" rank="0" text="" dxfId="14">
      <formula>0.9</formula>
    </cfRule>
  </conditionalFormatting>
  <conditionalFormatting sqref="P39">
    <cfRule type="cellIs" priority="17" operator="greaterThan" aboveAverage="0" equalAverage="0" bottom="0" percent="0" rank="0" text="" dxfId="15">
      <formula>0.9</formula>
    </cfRule>
  </conditionalFormatting>
  <conditionalFormatting sqref="P40">
    <cfRule type="cellIs" priority="18" operator="greaterThan" aboveAverage="0" equalAverage="0" bottom="0" percent="0" rank="0" text="" dxfId="16">
      <formula>0.9</formula>
    </cfRule>
  </conditionalFormatting>
  <conditionalFormatting sqref="P41">
    <cfRule type="cellIs" priority="19" operator="greaterThan" aboveAverage="0" equalAverage="0" bottom="0" percent="0" rank="0" text="" dxfId="17">
      <formula>0.9</formula>
    </cfRule>
  </conditionalFormatting>
  <conditionalFormatting sqref="P64">
    <cfRule type="cellIs" priority="20" operator="greaterThan" aboveAverage="0" equalAverage="0" bottom="0" percent="0" rank="0" text="" dxfId="18">
      <formula>0.9</formula>
    </cfRule>
  </conditionalFormatting>
  <conditionalFormatting sqref="P65">
    <cfRule type="cellIs" priority="21" operator="greaterThan" aboveAverage="0" equalAverage="0" bottom="0" percent="0" rank="0" text="" dxfId="19">
      <formula>0.9</formula>
    </cfRule>
  </conditionalFormatting>
  <conditionalFormatting sqref="P66">
    <cfRule type="cellIs" priority="22" operator="greaterThan" aboveAverage="0" equalAverage="0" bottom="0" percent="0" rank="0" text="" dxfId="20">
      <formula>0.9</formula>
    </cfRule>
  </conditionalFormatting>
  <conditionalFormatting sqref="P67">
    <cfRule type="cellIs" priority="23" operator="greaterThan" aboveAverage="0" equalAverage="0" bottom="0" percent="0" rank="0" text="" dxfId="21">
      <formula>0.9</formula>
    </cfRule>
  </conditionalFormatting>
  <printOptions headings="false" gridLines="false" gridLinesSet="true" horizontalCentered="true" verticalCentered="false"/>
  <pageMargins left="0.511805555555556" right="0.511805555555556" top="1.42222222222222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rowBreaks count="1" manualBreakCount="1">
    <brk id="69" man="true" max="16383" min="0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I53" activeCellId="0" sqref="I5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6"/>
    <col collapsed="false" customWidth="true" hidden="false" outlineLevel="0" max="5" min="5" style="1" width="13.71"/>
    <col collapsed="false" customWidth="true" hidden="false" outlineLevel="0" max="6" min="6" style="1" width="3.4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84"/>
      <c r="B2" s="185" t="s">
        <v>179</v>
      </c>
      <c r="C2" s="185"/>
      <c r="D2" s="185"/>
      <c r="E2" s="185"/>
    </row>
    <row r="3" customFormat="false" ht="15" hidden="false" customHeight="false" outlineLevel="0" collapsed="false">
      <c r="B3" s="185"/>
      <c r="C3" s="185"/>
      <c r="D3" s="185"/>
      <c r="E3" s="185"/>
    </row>
    <row r="4" customFormat="false" ht="15" hidden="false" customHeight="false" outlineLevel="0" collapsed="false">
      <c r="B4" s="185"/>
      <c r="C4" s="185"/>
      <c r="D4" s="185"/>
      <c r="E4" s="185"/>
    </row>
    <row r="5" customFormat="false" ht="15" hidden="false" customHeight="false" outlineLevel="0" collapsed="false">
      <c r="B5" s="185"/>
      <c r="C5" s="185"/>
      <c r="D5" s="185"/>
      <c r="E5" s="185"/>
    </row>
    <row r="6" customFormat="false" ht="15" hidden="false" customHeight="false" outlineLevel="0" collapsed="false">
      <c r="B6" s="185"/>
      <c r="C6" s="185"/>
      <c r="D6" s="185"/>
      <c r="E6" s="185"/>
    </row>
    <row r="7" customFormat="false" ht="14.25" hidden="false" customHeight="true" outlineLevel="0" collapsed="false">
      <c r="B7" s="185"/>
      <c r="C7" s="185"/>
      <c r="D7" s="185"/>
      <c r="E7" s="185"/>
    </row>
    <row r="8" customFormat="false" ht="15.75" hidden="false" customHeight="true" outlineLevel="0" collapsed="false">
      <c r="B8" s="186" t="s">
        <v>180</v>
      </c>
      <c r="C8" s="186"/>
      <c r="D8" s="186"/>
      <c r="E8" s="186"/>
    </row>
    <row r="9" customFormat="false" ht="31.5" hidden="false" customHeight="true" outlineLevel="0" collapsed="false">
      <c r="B9" s="187" t="s">
        <v>181</v>
      </c>
      <c r="C9" s="187"/>
      <c r="D9" s="188" t="s">
        <v>182</v>
      </c>
      <c r="E9" s="188"/>
    </row>
    <row r="10" customFormat="false" ht="42" hidden="false" customHeight="true" outlineLevel="0" collapsed="false">
      <c r="B10" s="187" t="s">
        <v>183</v>
      </c>
      <c r="C10" s="187"/>
      <c r="D10" s="188"/>
      <c r="E10" s="188"/>
    </row>
    <row r="11" customFormat="false" ht="16.5" hidden="false" customHeight="false" outlineLevel="0" collapsed="false">
      <c r="B11" s="189" t="s">
        <v>184</v>
      </c>
      <c r="C11" s="190" t="s">
        <v>185</v>
      </c>
      <c r="D11" s="190" t="s">
        <v>186</v>
      </c>
      <c r="E11" s="191" t="s">
        <v>187</v>
      </c>
    </row>
    <row r="12" customFormat="false" ht="16.5" hidden="false" customHeight="false" outlineLevel="0" collapsed="false">
      <c r="B12" s="192" t="n">
        <v>1</v>
      </c>
      <c r="C12" s="193" t="s">
        <v>29</v>
      </c>
      <c r="D12" s="194"/>
      <c r="E12" s="195"/>
    </row>
    <row r="13" customFormat="false" ht="15.75" hidden="false" customHeight="false" outlineLevel="0" collapsed="false">
      <c r="B13" s="196" t="s">
        <v>30</v>
      </c>
      <c r="C13" s="197" t="s">
        <v>31</v>
      </c>
      <c r="D13" s="198" t="s">
        <v>32</v>
      </c>
      <c r="E13" s="199" t="n">
        <v>1</v>
      </c>
    </row>
    <row r="14" customFormat="false" ht="15.75" hidden="false" customHeight="true" outlineLevel="0" collapsed="false">
      <c r="B14" s="200" t="s">
        <v>188</v>
      </c>
      <c r="C14" s="200"/>
      <c r="D14" s="198"/>
      <c r="E14" s="199"/>
    </row>
    <row r="15" customFormat="false" ht="31.5" hidden="false" customHeight="false" outlineLevel="0" collapsed="false">
      <c r="B15" s="196" t="s">
        <v>33</v>
      </c>
      <c r="C15" s="197" t="s">
        <v>34</v>
      </c>
      <c r="D15" s="201" t="s">
        <v>32</v>
      </c>
      <c r="E15" s="202" t="n">
        <v>1</v>
      </c>
    </row>
    <row r="16" customFormat="false" ht="15.75" hidden="false" customHeight="true" outlineLevel="0" collapsed="false">
      <c r="B16" s="200" t="s">
        <v>188</v>
      </c>
      <c r="C16" s="200"/>
      <c r="D16" s="201"/>
      <c r="E16" s="202"/>
    </row>
    <row r="17" customFormat="false" ht="31.5" hidden="false" customHeight="false" outlineLevel="0" collapsed="false">
      <c r="B17" s="196" t="s">
        <v>35</v>
      </c>
      <c r="C17" s="197" t="s">
        <v>36</v>
      </c>
      <c r="D17" s="201" t="s">
        <v>32</v>
      </c>
      <c r="E17" s="202" t="n">
        <v>1</v>
      </c>
    </row>
    <row r="18" customFormat="false" ht="15.75" hidden="false" customHeight="true" outlineLevel="0" collapsed="false">
      <c r="B18" s="200" t="s">
        <v>188</v>
      </c>
      <c r="C18" s="200"/>
      <c r="D18" s="201"/>
      <c r="E18" s="202"/>
    </row>
    <row r="19" customFormat="false" ht="31.5" hidden="false" customHeight="false" outlineLevel="0" collapsed="false">
      <c r="B19" s="196" t="s">
        <v>37</v>
      </c>
      <c r="C19" s="197" t="s">
        <v>38</v>
      </c>
      <c r="D19" s="203" t="s">
        <v>32</v>
      </c>
      <c r="E19" s="202" t="n">
        <v>1</v>
      </c>
    </row>
    <row r="20" customFormat="false" ht="15.75" hidden="false" customHeight="true" outlineLevel="0" collapsed="false">
      <c r="B20" s="200" t="s">
        <v>188</v>
      </c>
      <c r="C20" s="200"/>
      <c r="D20" s="203"/>
      <c r="E20" s="202"/>
    </row>
    <row r="21" customFormat="false" ht="16.5" hidden="false" customHeight="false" outlineLevel="0" collapsed="false">
      <c r="B21" s="192" t="n">
        <v>2</v>
      </c>
      <c r="C21" s="193" t="s">
        <v>51</v>
      </c>
      <c r="D21" s="194"/>
      <c r="E21" s="195"/>
    </row>
    <row r="22" s="85" customFormat="true" ht="25.5" hidden="false" customHeight="true" outlineLevel="0" collapsed="false">
      <c r="B22" s="204" t="s">
        <v>73</v>
      </c>
      <c r="C22" s="205" t="s">
        <v>74</v>
      </c>
      <c r="D22" s="206" t="s">
        <v>56</v>
      </c>
      <c r="E22" s="207" t="n">
        <v>1020</v>
      </c>
    </row>
    <row r="23" s="85" customFormat="true" ht="33.75" hidden="false" customHeight="true" outlineLevel="0" collapsed="false">
      <c r="B23" s="208" t="s">
        <v>189</v>
      </c>
      <c r="C23" s="208"/>
      <c r="D23" s="206"/>
      <c r="E23" s="207"/>
    </row>
    <row r="24" customFormat="false" ht="33.75" hidden="false" customHeight="true" outlineLevel="0" collapsed="false">
      <c r="B24" s="204" t="s">
        <v>75</v>
      </c>
      <c r="C24" s="205" t="s">
        <v>76</v>
      </c>
      <c r="D24" s="206" t="s">
        <v>56</v>
      </c>
      <c r="E24" s="207" t="n">
        <v>1020</v>
      </c>
    </row>
    <row r="25" customFormat="false" ht="35.25" hidden="false" customHeight="true" outlineLevel="0" collapsed="false">
      <c r="B25" s="208" t="s">
        <v>190</v>
      </c>
      <c r="C25" s="208"/>
      <c r="D25" s="206"/>
      <c r="E25" s="207"/>
    </row>
    <row r="26" customFormat="false" ht="16.5" hidden="false" customHeight="false" outlineLevel="0" collapsed="false">
      <c r="B26" s="192" t="n">
        <v>3</v>
      </c>
      <c r="C26" s="193" t="s">
        <v>78</v>
      </c>
      <c r="D26" s="194"/>
      <c r="E26" s="195"/>
    </row>
    <row r="27" customFormat="false" ht="35.25" hidden="false" customHeight="true" outlineLevel="0" collapsed="false">
      <c r="B27" s="196" t="s">
        <v>92</v>
      </c>
      <c r="C27" s="197" t="s">
        <v>93</v>
      </c>
      <c r="D27" s="201" t="s">
        <v>49</v>
      </c>
      <c r="E27" s="202" t="n">
        <v>340</v>
      </c>
    </row>
    <row r="28" customFormat="false" ht="24.75" hidden="false" customHeight="true" outlineLevel="0" collapsed="false">
      <c r="B28" s="200" t="s">
        <v>191</v>
      </c>
      <c r="C28" s="200"/>
      <c r="D28" s="201"/>
      <c r="E28" s="202"/>
    </row>
    <row r="29" customFormat="false" ht="24.75" hidden="false" customHeight="true" outlineLevel="0" collapsed="false">
      <c r="B29" s="196" t="s">
        <v>94</v>
      </c>
      <c r="C29" s="197" t="s">
        <v>95</v>
      </c>
      <c r="D29" s="201" t="s">
        <v>56</v>
      </c>
      <c r="E29" s="202" t="n">
        <v>51</v>
      </c>
    </row>
    <row r="30" customFormat="false" ht="24.75" hidden="false" customHeight="true" outlineLevel="0" collapsed="false">
      <c r="B30" s="200" t="s">
        <v>192</v>
      </c>
      <c r="C30" s="200"/>
      <c r="D30" s="201"/>
      <c r="E30" s="202"/>
    </row>
    <row r="31" customFormat="false" ht="16.5" hidden="false" customHeight="false" outlineLevel="0" collapsed="false">
      <c r="B31" s="192" t="n">
        <v>5</v>
      </c>
      <c r="C31" s="193" t="s">
        <v>113</v>
      </c>
      <c r="D31" s="194"/>
      <c r="E31" s="195"/>
    </row>
    <row r="32" s="85" customFormat="true" ht="19.5" hidden="false" customHeight="true" outlineLevel="0" collapsed="false">
      <c r="B32" s="209" t="s">
        <v>117</v>
      </c>
      <c r="C32" s="210" t="s">
        <v>118</v>
      </c>
      <c r="D32" s="211" t="s">
        <v>56</v>
      </c>
      <c r="E32" s="212" t="n">
        <v>0.28</v>
      </c>
    </row>
    <row r="33" s="85" customFormat="true" ht="15.75" hidden="false" customHeight="true" outlineLevel="0" collapsed="false">
      <c r="B33" s="208" t="s">
        <v>193</v>
      </c>
      <c r="C33" s="208"/>
      <c r="D33" s="211"/>
      <c r="E33" s="212"/>
    </row>
    <row r="34" s="213" customFormat="true" ht="19.5" hidden="false" customHeight="true" outlineLevel="0" collapsed="false">
      <c r="B34" s="214" t="s">
        <v>123</v>
      </c>
      <c r="C34" s="215" t="s">
        <v>124</v>
      </c>
      <c r="D34" s="216" t="s">
        <v>56</v>
      </c>
      <c r="E34" s="217" t="n">
        <v>14.06</v>
      </c>
    </row>
    <row r="35" s="213" customFormat="true" ht="15" hidden="false" customHeight="true" outlineLevel="0" collapsed="false">
      <c r="B35" s="218" t="s">
        <v>194</v>
      </c>
      <c r="C35" s="218"/>
      <c r="D35" s="216"/>
      <c r="E35" s="217"/>
    </row>
    <row r="36" customFormat="false" ht="35.25" hidden="false" customHeight="true" outlineLevel="0" collapsed="false">
      <c r="B36" s="196" t="s">
        <v>125</v>
      </c>
      <c r="C36" s="197" t="s">
        <v>126</v>
      </c>
      <c r="D36" s="219" t="s">
        <v>44</v>
      </c>
      <c r="E36" s="220" t="n">
        <v>1035</v>
      </c>
    </row>
    <row r="37" customFormat="false" ht="24.75" hidden="false" customHeight="true" outlineLevel="0" collapsed="false">
      <c r="B37" s="221" t="s">
        <v>195</v>
      </c>
      <c r="C37" s="221"/>
      <c r="D37" s="219"/>
      <c r="E37" s="220"/>
    </row>
    <row r="38" customFormat="false" ht="16.5" hidden="false" customHeight="false" outlineLevel="0" collapsed="false">
      <c r="B38" s="192" t="n">
        <v>6</v>
      </c>
      <c r="C38" s="193" t="s">
        <v>128</v>
      </c>
      <c r="D38" s="194"/>
      <c r="E38" s="195"/>
    </row>
    <row r="39" s="213" customFormat="true" ht="31.5" hidden="false" customHeight="true" outlineLevel="0" collapsed="false">
      <c r="B39" s="222" t="s">
        <v>129</v>
      </c>
      <c r="C39" s="223" t="s">
        <v>130</v>
      </c>
      <c r="D39" s="224" t="s">
        <v>49</v>
      </c>
      <c r="E39" s="225" t="n">
        <v>506.8</v>
      </c>
    </row>
    <row r="40" s="213" customFormat="true" ht="15" hidden="false" customHeight="true" outlineLevel="0" collapsed="false">
      <c r="B40" s="218" t="s">
        <v>196</v>
      </c>
      <c r="C40" s="218"/>
      <c r="D40" s="224"/>
      <c r="E40" s="225"/>
    </row>
    <row r="41" s="213" customFormat="true" ht="15" hidden="false" customHeight="false" outlineLevel="0" collapsed="false">
      <c r="B41" s="226" t="s">
        <v>133</v>
      </c>
      <c r="C41" s="223" t="s">
        <v>134</v>
      </c>
      <c r="D41" s="227" t="s">
        <v>56</v>
      </c>
      <c r="E41" s="228" t="n">
        <v>96.23</v>
      </c>
    </row>
    <row r="42" s="213" customFormat="true" ht="76.85" hidden="false" customHeight="true" outlineLevel="0" collapsed="false">
      <c r="B42" s="229" t="s">
        <v>197</v>
      </c>
      <c r="C42" s="229"/>
      <c r="D42" s="227"/>
      <c r="E42" s="228"/>
    </row>
    <row r="43" s="85" customFormat="true" ht="15" hidden="false" customHeight="false" outlineLevel="0" collapsed="false">
      <c r="B43" s="204" t="s">
        <v>142</v>
      </c>
      <c r="C43" s="205" t="s">
        <v>143</v>
      </c>
      <c r="D43" s="206" t="s">
        <v>198</v>
      </c>
      <c r="E43" s="230" t="n">
        <v>50</v>
      </c>
    </row>
    <row r="44" s="85" customFormat="true" ht="15.75" hidden="false" customHeight="true" outlineLevel="0" collapsed="false">
      <c r="B44" s="208" t="s">
        <v>199</v>
      </c>
      <c r="C44" s="208"/>
      <c r="D44" s="206"/>
      <c r="E44" s="230"/>
    </row>
    <row r="45" s="85" customFormat="true" ht="26.85" hidden="false" customHeight="false" outlineLevel="0" collapsed="false">
      <c r="B45" s="204" t="s">
        <v>144</v>
      </c>
      <c r="C45" s="205" t="s">
        <v>145</v>
      </c>
      <c r="D45" s="206" t="s">
        <v>44</v>
      </c>
      <c r="E45" s="230" t="n">
        <v>596.68</v>
      </c>
    </row>
    <row r="46" s="85" customFormat="true" ht="15.75" hidden="false" customHeight="true" outlineLevel="0" collapsed="false">
      <c r="B46" s="208" t="s">
        <v>200</v>
      </c>
      <c r="C46" s="208"/>
      <c r="D46" s="206"/>
      <c r="E46" s="230"/>
    </row>
    <row r="47" s="85" customFormat="true" ht="15.75" hidden="false" customHeight="false" outlineLevel="0" collapsed="false">
      <c r="A47" s="1"/>
      <c r="B47" s="204" t="s">
        <v>146</v>
      </c>
      <c r="C47" s="205" t="s">
        <v>147</v>
      </c>
      <c r="D47" s="206" t="s">
        <v>201</v>
      </c>
      <c r="E47" s="230" t="n">
        <v>73.32</v>
      </c>
      <c r="F47" s="1"/>
      <c r="G47" s="1"/>
    </row>
    <row r="48" s="85" customFormat="true" ht="15.75" hidden="false" customHeight="true" outlineLevel="0" collapsed="false">
      <c r="A48" s="1"/>
      <c r="B48" s="208" t="s">
        <v>202</v>
      </c>
      <c r="C48" s="208"/>
      <c r="D48" s="206"/>
      <c r="E48" s="230"/>
      <c r="F48" s="1"/>
      <c r="G48" s="1"/>
    </row>
    <row r="49" s="85" customFormat="true" ht="27.6" hidden="false" customHeight="true" outlineLevel="0" collapsed="false">
      <c r="A49" s="1"/>
      <c r="B49" s="204" t="s">
        <v>149</v>
      </c>
      <c r="C49" s="205" t="s">
        <v>150</v>
      </c>
      <c r="D49" s="206" t="s">
        <v>44</v>
      </c>
      <c r="E49" s="230" t="n">
        <v>556.2</v>
      </c>
      <c r="F49" s="1"/>
      <c r="G49" s="1"/>
    </row>
    <row r="50" s="85" customFormat="true" ht="15.75" hidden="false" customHeight="true" outlineLevel="0" collapsed="false">
      <c r="A50" s="1"/>
      <c r="B50" s="208" t="s">
        <v>203</v>
      </c>
      <c r="C50" s="208"/>
      <c r="D50" s="206"/>
      <c r="E50" s="230"/>
      <c r="F50" s="1"/>
      <c r="G50" s="1"/>
    </row>
    <row r="51" customFormat="false" ht="15.75" hidden="false" customHeight="false" outlineLevel="0" collapsed="false">
      <c r="B51" s="204" t="s">
        <v>151</v>
      </c>
      <c r="C51" s="205" t="s">
        <v>152</v>
      </c>
      <c r="D51" s="206" t="s">
        <v>49</v>
      </c>
      <c r="E51" s="230" t="n">
        <v>255</v>
      </c>
    </row>
    <row r="52" customFormat="false" ht="15.75" hidden="false" customHeight="true" outlineLevel="0" collapsed="false">
      <c r="B52" s="208" t="s">
        <v>204</v>
      </c>
      <c r="C52" s="208"/>
      <c r="D52" s="206"/>
      <c r="E52" s="230"/>
    </row>
    <row r="53" customFormat="false" ht="31.5" hidden="false" customHeight="false" outlineLevel="0" collapsed="false">
      <c r="B53" s="204" t="s">
        <v>153</v>
      </c>
      <c r="C53" s="205" t="s">
        <v>154</v>
      </c>
      <c r="D53" s="206" t="s">
        <v>56</v>
      </c>
      <c r="E53" s="230" t="n">
        <v>637.5</v>
      </c>
    </row>
    <row r="54" customFormat="false" ht="15.75" hidden="false" customHeight="true" outlineLevel="0" collapsed="false">
      <c r="B54" s="208" t="s">
        <v>205</v>
      </c>
      <c r="C54" s="208"/>
      <c r="D54" s="206"/>
      <c r="E54" s="230"/>
    </row>
    <row r="55" customFormat="false" ht="15.75" hidden="false" customHeight="false" outlineLevel="0" collapsed="false">
      <c r="B55" s="204" t="s">
        <v>155</v>
      </c>
      <c r="C55" s="205" t="s">
        <v>156</v>
      </c>
      <c r="D55" s="231" t="s">
        <v>44</v>
      </c>
      <c r="E55" s="232" t="n">
        <v>631.8</v>
      </c>
    </row>
    <row r="56" customFormat="false" ht="16.5" hidden="false" customHeight="true" outlineLevel="0" collapsed="false">
      <c r="B56" s="233" t="s">
        <v>206</v>
      </c>
      <c r="C56" s="233"/>
      <c r="D56" s="231"/>
      <c r="E56" s="232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65">
    <mergeCell ref="B2:E7"/>
    <mergeCell ref="B8:E8"/>
    <mergeCell ref="B9:C9"/>
    <mergeCell ref="D9:E10"/>
    <mergeCell ref="B10:C10"/>
    <mergeCell ref="D13:D14"/>
    <mergeCell ref="E13:E14"/>
    <mergeCell ref="B14:C14"/>
    <mergeCell ref="D15:D16"/>
    <mergeCell ref="E15:E16"/>
    <mergeCell ref="B16:C16"/>
    <mergeCell ref="D17:D18"/>
    <mergeCell ref="E17:E18"/>
    <mergeCell ref="B18:C18"/>
    <mergeCell ref="D19:D20"/>
    <mergeCell ref="E19:E20"/>
    <mergeCell ref="B20:C20"/>
    <mergeCell ref="D22:D23"/>
    <mergeCell ref="E22:E23"/>
    <mergeCell ref="B23:C23"/>
    <mergeCell ref="D24:D25"/>
    <mergeCell ref="E24:E25"/>
    <mergeCell ref="B25:C25"/>
    <mergeCell ref="D27:D28"/>
    <mergeCell ref="E27:E28"/>
    <mergeCell ref="B28:C28"/>
    <mergeCell ref="D29:D30"/>
    <mergeCell ref="E29:E30"/>
    <mergeCell ref="B30:C30"/>
    <mergeCell ref="D32:D33"/>
    <mergeCell ref="E32:E33"/>
    <mergeCell ref="B33:C33"/>
    <mergeCell ref="D34:D35"/>
    <mergeCell ref="E34:E35"/>
    <mergeCell ref="B35:C35"/>
    <mergeCell ref="D36:D37"/>
    <mergeCell ref="E36:E37"/>
    <mergeCell ref="B37:C37"/>
    <mergeCell ref="D39:D40"/>
    <mergeCell ref="E39:E40"/>
    <mergeCell ref="B40:C40"/>
    <mergeCell ref="D41:D42"/>
    <mergeCell ref="E41:E42"/>
    <mergeCell ref="B42:C42"/>
    <mergeCell ref="D43:D44"/>
    <mergeCell ref="E43:E44"/>
    <mergeCell ref="B44:C44"/>
    <mergeCell ref="D45:D46"/>
    <mergeCell ref="E45:E46"/>
    <mergeCell ref="B46:C46"/>
    <mergeCell ref="D47:D48"/>
    <mergeCell ref="E47:E48"/>
    <mergeCell ref="B48:C48"/>
    <mergeCell ref="D49:D50"/>
    <mergeCell ref="E49:E50"/>
    <mergeCell ref="B50:C50"/>
    <mergeCell ref="D51:D52"/>
    <mergeCell ref="E51:E52"/>
    <mergeCell ref="B52:C52"/>
    <mergeCell ref="D53:D54"/>
    <mergeCell ref="E53:E54"/>
    <mergeCell ref="B54:C54"/>
    <mergeCell ref="D55:D56"/>
    <mergeCell ref="E55:E56"/>
    <mergeCell ref="B56:C56"/>
  </mergeCells>
  <printOptions headings="false" gridLines="false" gridLinesSet="true" horizontalCentered="false" verticalCentered="false"/>
  <pageMargins left="0.905555555555556" right="0.905555555555556" top="0.7875" bottom="0.7875" header="0.511811023622047" footer="0.315277777777778"/>
  <pageSetup paperSize="9" scale="6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&amp;CRua Lourenço Roldi, 88 – Bairro São Roquinho
CEP: 29665-000 – Telefax (027) 3729-1300 – CNPJ (MF) 01.612.865/0001-71 – São Roque do Canaã – ES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160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2022-10-05T14:50:41Z</cp:lastPrinted>
  <dcterms:modified xsi:type="dcterms:W3CDTF">2022-10-05T14:51:31Z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