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6.jpeg" ContentType="image/jpeg"/>
  <Override PartName="/xl/media/image7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9" sheetId="1" state="visible" r:id="rId2"/>
    <sheet name="MEMO CALCULO 10" sheetId="2" state="visible" r:id="rId3"/>
  </sheets>
  <definedNames>
    <definedName function="false" hidden="false" localSheetId="0" name="_xlnm.Print_Area" vbProcedure="false">'MEDIÇÃO 9'!$A$1:$S$98</definedName>
    <definedName function="false" hidden="false" localSheetId="0" name="_xlnm.Print_Titles" vbProcedure="false">'MEDIÇÃO 9'!$A:$S,'MEDIÇÃO 9'!$1:$11</definedName>
    <definedName function="false" hidden="false" localSheetId="1" name="_xlnm.Print_Area" vbProcedure="false">'MEMO CALCULO 10'!$A$1:$F$39</definedName>
    <definedName function="false" hidden="false" localSheetId="0" name="_xlnm.Print_Area" vbProcedure="false">'MEDIÇÃO 9'!$A$1:$S$96</definedName>
    <definedName function="false" hidden="false" localSheetId="0" name="_xlnm.Print_Area_0_0" vbProcedure="false">'MEDIÇÃO 9'!$A$12:$S$96</definedName>
    <definedName function="false" hidden="false" localSheetId="0" name="_xlnm.Print_Area_0_0_0" vbProcedure="false">'MEDIÇÃO 9'!$A$12:$S$98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<sst xmlns="http://schemas.openxmlformats.org/spreadsheetml/2006/main" count="302" uniqueCount="215">
  <si>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</si>
  <si>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</t>
  </si>
  <si>
    <t xml:space="preserve">DATA: 13/02/2023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</si>
  <si>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MURO DE CONTENÇÃO E ESTABILIZAÇÃO DE TALUDES EM ÁREA DE RISCO</t>
    </r>
  </si>
  <si>
    <t xml:space="preserve">CONTRATO Nº:</t>
  </si>
  <si>
    <t xml:space="preserve">026/2022</t>
  </si>
  <si>
    <t xml:space="preserve">Assinatura: 23/02/2022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</si>
  <si>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</si>
  <si>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</si>
  <si>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RUAS ANTÔNIO GIL VELOSO, CENTRO E MIGUEL ÂNGELO PIONTKOVSKY, BAIRRO NOSSA SENHORA DAS GRAÇAS, NESTE MUNICÍPIO</t>
    </r>
  </si>
  <si>
    <t xml:space="preserve">PERÍODO</t>
  </si>
  <si>
    <t xml:space="preserve">a </t>
  </si>
  <si>
    <t xml:space="preserve">PRAZO:</t>
  </si>
  <si>
    <t xml:space="preserve">365 DIAS</t>
  </si>
  <si>
    <r>
      <rPr>
        <b val="true"/>
        <sz val="10"/>
        <rFont val="Arial"/>
        <family val="2"/>
        <charset val="1"/>
      </rPr>
      <t xml:space="preserve">EMPREITEIRA: </t>
    </r>
    <r>
      <rPr>
        <sz val="10"/>
        <rFont val="Arial"/>
        <family val="2"/>
        <charset val="1"/>
      </rPr>
      <t xml:space="preserve">M S CONSTRUTORA EIRELI</t>
    </r>
  </si>
  <si>
    <t xml:space="preserve">1º REPLAN (QUANTITATIVO)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</si>
  <si>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</si>
  <si>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</si>
  <si>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</si>
  <si>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</si>
  <si>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</si>
  <si>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</si>
  <si>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</si>
  <si>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REAJUSTE</t>
  </si>
  <si>
    <t xml:space="preserve">REAJUSTE + BDI</t>
  </si>
  <si>
    <t xml:space="preserve">ACRÉSC.</t>
  </si>
  <si>
    <t xml:space="preserve">DECRÉSC.</t>
  </si>
  <si>
    <t xml:space="preserve">TOTAL</t>
  </si>
  <si>
    <t xml:space="preserve">ACUMULADO ANTERIOR</t>
  </si>
  <si>
    <t xml:space="preserve">MEDIÇÃO 10</t>
  </si>
  <si>
    <t xml:space="preserve">TOTAL MEDIDO</t>
  </si>
  <si>
    <t xml:space="preserve">%</t>
  </si>
  <si>
    <t xml:space="preserve">1.</t>
  </si>
  <si>
    <t xml:space="preserve">CANTEIRO DE OBRAS</t>
  </si>
  <si>
    <t xml:space="preserve">1.1</t>
  </si>
  <si>
    <t xml:space="preserve">Aluguel de container para almoxarifado</t>
  </si>
  <si>
    <t xml:space="preserve">mês</t>
  </si>
  <si>
    <t xml:space="preserve">1.2</t>
  </si>
  <si>
    <t xml:space="preserve">Aluguel de container p/ escritório c/ ar condicionado e banheiro,isolam.térmico e acústico, 2 luminárias, janela de vidro, tomada p/ comput. E telef.</t>
  </si>
  <si>
    <t xml:space="preserve">1.3</t>
  </si>
  <si>
    <t xml:space="preserve">Aluguel de container tipo refeitório (2 unidades acopladas), c/ 2 aparelhos de ar condicionado, 4 lumináriase 4 janelas de vidro</t>
  </si>
  <si>
    <t xml:space="preserve">1.4</t>
  </si>
  <si>
    <t xml:space="preserve">Aluguel de container tipo sanitário com 3 vasos sanitários, lavatório, mictório, 5 chuveiros, 2 venezianas e piso especial</t>
  </si>
  <si>
    <t xml:space="preserve">1.5</t>
  </si>
  <si>
    <t xml:space="preserve">Reservatório de fibra de vidro de 1000 L, incl. suporte em madeira de 7x12cm, elevado de 4m</t>
  </si>
  <si>
    <t xml:space="preserve">und</t>
  </si>
  <si>
    <t xml:space="preserve">1.6</t>
  </si>
  <si>
    <t xml:space="preserve">Rede de água c/ padrão de entrada d'água diâm. 3/4" conf. CESAN, incl. tubos e conexões p/ aliment., distrib., extravas. e limp., cons. o padrão a 25m</t>
  </si>
  <si>
    <t xml:space="preserve">m</t>
  </si>
  <si>
    <t xml:space="preserve">1.7</t>
  </si>
  <si>
    <t xml:space="preserve">Rede de luz, incl. padrão entr. energia trifás. cabo ligação até barracões, quadro distrib., disj. e chave de força, cons. 20m entre padrão entr.e QDG</t>
  </si>
  <si>
    <t xml:space="preserve">1.8</t>
  </si>
  <si>
    <t xml:space="preserve">Galpão em peças de madeira 8x8cm e contravent. de 5x7cm, cobertura de telhas de fibroc. de 6mm, incl. ponto e cabo de alimentação da máquina</t>
  </si>
  <si>
    <t xml:space="preserve">m²</t>
  </si>
  <si>
    <t xml:space="preserve">2.</t>
  </si>
  <si>
    <t xml:space="preserve">TERRAPLANAGEM</t>
  </si>
  <si>
    <t xml:space="preserve">2.1</t>
  </si>
  <si>
    <t xml:space="preserve">Capina manual inclusive, limpeza</t>
  </si>
  <si>
    <t xml:space="preserve">2.2</t>
  </si>
  <si>
    <t xml:space="preserve">Escavação, carga e transporte de material de 1ª cat. 1000 a 1200 m com moto-escavotransportador</t>
  </si>
  <si>
    <t xml:space="preserve">m³</t>
  </si>
  <si>
    <t xml:space="preserve">2.3</t>
  </si>
  <si>
    <t xml:space="preserve">Escavação, carga e transporte de material de 2ª cat. 1000 a 1200 m com moto-escavotransportador</t>
  </si>
  <si>
    <t xml:space="preserve">2.4</t>
  </si>
  <si>
    <t xml:space="preserve">Escavação e carga de material de 3ª categoria (H bancada &gt;1,0 m)</t>
  </si>
  <si>
    <t xml:space="preserve">2.5</t>
  </si>
  <si>
    <t xml:space="preserve">Fragmentação de rocha (fogacheamento)</t>
  </si>
  <si>
    <t xml:space="preserve">2.6</t>
  </si>
  <si>
    <t xml:space="preserve">Preparo manual de talude, compreendendo acerto, raspagem eventual de até 0,30m de prof. e afastamento lateral</t>
  </si>
  <si>
    <t xml:space="preserve">2.7</t>
  </si>
  <si>
    <t xml:space="preserve">Transporte de materiais encosta acima, serviço manual, inclusive carga e e descarga</t>
  </si>
  <si>
    <t xml:space="preserve">tdam</t>
  </si>
  <si>
    <t xml:space="preserve">2.8</t>
  </si>
  <si>
    <t xml:space="preserve">Transporte de materiais encosta abaixo, serviço manual, inclusive carga e descarga</t>
  </si>
  <si>
    <t xml:space="preserve">2.9</t>
  </si>
  <si>
    <t xml:space="preserve">Transporte Local de Materiais (TR-101-01) (Vias urbanas - Caminhão basculante): XP=7 e XR=2 - (1,123XP + 1,497XR + 1,872) -  </t>
  </si>
  <si>
    <t xml:space="preserve">t</t>
  </si>
  <si>
    <t xml:space="preserve">2.10</t>
  </si>
  <si>
    <t xml:space="preserve">Compactação de aterros 100% PN</t>
  </si>
  <si>
    <t xml:space="preserve">2.11</t>
  </si>
  <si>
    <t xml:space="preserve">Aquisição de solo de jazida comercial (saibreira)</t>
  </si>
  <si>
    <t xml:space="preserve">3.</t>
  </si>
  <si>
    <t xml:space="preserve">DRENAGEM</t>
  </si>
  <si>
    <t xml:space="preserve">3.1</t>
  </si>
  <si>
    <t xml:space="preserve">Religação de rede de água em PVC DN 25mm,inclusive conexões</t>
  </si>
  <si>
    <t xml:space="preserve"> -   </t>
  </si>
  <si>
    <t xml:space="preserve">3.2</t>
  </si>
  <si>
    <t xml:space="preserve">Tubo PVC rígido para esgoto no diâmetro de 200mm incluindo escavação e aterro com areia</t>
  </si>
  <si>
    <t xml:space="preserve">3.3</t>
  </si>
  <si>
    <t xml:space="preserve">Canaleta de concreto retangular (0,130m³/m) inclusive caiação</t>
  </si>
  <si>
    <t xml:space="preserve">3.4</t>
  </si>
  <si>
    <t xml:space="preserve">Caixa coletora em bloco pré-moldado para d-&gt;0,60m (1,00 x 1,00m)</t>
  </si>
  <si>
    <t xml:space="preserve">Ud</t>
  </si>
  <si>
    <t xml:space="preserve">3.5</t>
  </si>
  <si>
    <t xml:space="preserve">Tampa de concreto em grelha, fornecimento, assentamento e transporte</t>
  </si>
  <si>
    <t xml:space="preserve">3.6</t>
  </si>
  <si>
    <t xml:space="preserve">Eletroduto de PVC diâmetro de 4", fornecimento e instalação</t>
  </si>
  <si>
    <t xml:space="preserve">3.7</t>
  </si>
  <si>
    <t xml:space="preserve">Geogrelha com resistência londitudinal a tração 35 a 40 kN, resist. transversal a tração 30 kN e deformação 5%, fornecimento e aplicação</t>
  </si>
  <si>
    <t xml:space="preserve">3.8</t>
  </si>
  <si>
    <t xml:space="preserve">Colchão drenante de brita 2 inclusive fornecimento, espalhamento,compactação e transporte da brita</t>
  </si>
  <si>
    <t xml:space="preserve">3.9</t>
  </si>
  <si>
    <t xml:space="preserve">Meio fio (remoção e reassentamento), inclusive caiação</t>
  </si>
  <si>
    <t xml:space="preserve">3.10</t>
  </si>
  <si>
    <t xml:space="preserve">Calçada de concreto</t>
  </si>
  <si>
    <t xml:space="preserve">3.11</t>
  </si>
  <si>
    <t xml:space="preserve">Tela de aço soldada Telcon Q-138 ou similar, fornecimento e assentamento</t>
  </si>
  <si>
    <t xml:space="preserve">3.12</t>
  </si>
  <si>
    <t xml:space="preserve">Lona plástica preta para isolamento de concretagem sobre solo, fornecimento e colocação</t>
  </si>
  <si>
    <t xml:space="preserve">4.</t>
  </si>
  <si>
    <t xml:space="preserve">SINALIZAÇÃO</t>
  </si>
  <si>
    <t xml:space="preserve">4.1</t>
  </si>
  <si>
    <t xml:space="preserve">Placas de sinalização, inclusive materiais, substituição</t>
  </si>
  <si>
    <t xml:space="preserve">4.2</t>
  </si>
  <si>
    <t xml:space="preserve">Tapume de vedação e proteção, executado com chapas de compensado resinado com 6 mm de espessura, exclusive pintura, em Vias Urbanas</t>
  </si>
  <si>
    <t xml:space="preserve">4.3</t>
  </si>
  <si>
    <t xml:space="preserve">Tela de proteção de segurança de PVC cor laranja com suporte para sinalização de obras </t>
  </si>
  <si>
    <t xml:space="preserve">5.</t>
  </si>
  <si>
    <t xml:space="preserve">SOLO GRAMPEADO</t>
  </si>
  <si>
    <t xml:space="preserve">5.1</t>
  </si>
  <si>
    <t xml:space="preserve">Concreto projetado com cimento especial</t>
  </si>
  <si>
    <t xml:space="preserve">5.2</t>
  </si>
  <si>
    <t xml:space="preserve">5.3</t>
  </si>
  <si>
    <t xml:space="preserve">Microconcreto com aditivo</t>
  </si>
  <si>
    <t xml:space="preserve">5.4</t>
  </si>
  <si>
    <t xml:space="preserve">Dreno de PVC  D = 50 mm em Vias Urbanas</t>
  </si>
  <si>
    <t xml:space="preserve">5.5</t>
  </si>
  <si>
    <t xml:space="preserve">Manta Geotêxtil não tecida com resistência longitudinal a tração 10kN/m, fornecimento e aplicação</t>
  </si>
  <si>
    <t xml:space="preserve">5.6</t>
  </si>
  <si>
    <t xml:space="preserve">Colchão drenante de brita 2 inclusive fornecimento, espalhamento, compactação e transporte da brita</t>
  </si>
  <si>
    <t xml:space="preserve">5.7</t>
  </si>
  <si>
    <t xml:space="preserve">Grampo de aço CA-50 D = 12,5 mm para solo grampeado com capacidade de 30 kN - fornecimento, perfuração e instalação</t>
  </si>
  <si>
    <t xml:space="preserve">6.</t>
  </si>
  <si>
    <t xml:space="preserve">MURO</t>
  </si>
  <si>
    <t xml:space="preserve">6.1</t>
  </si>
  <si>
    <t xml:space="preserve">Formas planas de madeirit meso e superestrutura com 4 reaproveitamentos esp. -&gt; 17 mm</t>
  </si>
  <si>
    <t xml:space="preserve">6.2</t>
  </si>
  <si>
    <t xml:space="preserve">Formas planas de madeira sem reaproveitamento (fundações), inclusive fornecimento e transporte das madeiras</t>
  </si>
  <si>
    <t xml:space="preserve">6.3</t>
  </si>
  <si>
    <t xml:space="preserve">Concreto estrutural fck -&gt; 25,0 MPa com plastificante em Vias Urbanas</t>
  </si>
  <si>
    <t xml:space="preserve">6.4</t>
  </si>
  <si>
    <t xml:space="preserve">Aluguel mensal de escoramento tubular com tubos metálicos com até 10 metros de altura</t>
  </si>
  <si>
    <t xml:space="preserve">6.5</t>
  </si>
  <si>
    <t xml:space="preserve">Montagem e desmontagem de escoramento tubular normal, em obras de arte na densidade de 5m de tubo por m³ de escoramento</t>
  </si>
  <si>
    <t xml:space="preserve">6.6</t>
  </si>
  <si>
    <t xml:space="preserve">Aço CA-50, fornecimento, dobragem e colocação nas formas (preço médio das bitolas)</t>
  </si>
  <si>
    <t xml:space="preserve">kg</t>
  </si>
  <si>
    <t xml:space="preserve">6.7</t>
  </si>
  <si>
    <t xml:space="preserve">Acessório para tirante protendido de aço ST 85/105</t>
  </si>
  <si>
    <t xml:space="preserve">6.8</t>
  </si>
  <si>
    <t xml:space="preserve">Tirante de aço ST 85/105, diâmetro de 32 mm, incluindo fornecimento da barra e da bainha proteção anticorrosiva, preparo e colocação no furo</t>
  </si>
  <si>
    <t xml:space="preserve">6.9</t>
  </si>
  <si>
    <t xml:space="preserve">Injeção de calda de cimento para chumbamento de tirantes</t>
  </si>
  <si>
    <t xml:space="preserve">SC</t>
  </si>
  <si>
    <t xml:space="preserve">6.10</t>
  </si>
  <si>
    <t xml:space="preserve">Perfuração rotativa inclinada, em rocha sã, com coroa de diamante, diâmetro N (75mm), inclusive deslocamento e posicionamento em cada furo.</t>
  </si>
  <si>
    <t xml:space="preserve">6.11</t>
  </si>
  <si>
    <t xml:space="preserve">Plataforma ou passarela de pinho de 1ª ou similar, 1" x 12"</t>
  </si>
  <si>
    <t xml:space="preserve">6.12</t>
  </si>
  <si>
    <t xml:space="preserve">Andaime de madeira para altura até 7 m, compreendendo montagem e desmontagem em Vias Urbanas</t>
  </si>
  <si>
    <t xml:space="preserve">6.13</t>
  </si>
  <si>
    <t xml:space="preserve">Perfuração rotativa inclinada, em solo, com coroa de Widia, diâmetro 75mm</t>
  </si>
  <si>
    <t xml:space="preserve">7.</t>
  </si>
  <si>
    <t xml:space="preserve">ITENS NOVOS</t>
  </si>
  <si>
    <t xml:space="preserve">7.1</t>
  </si>
  <si>
    <t xml:space="preserve">Mobilização e desmobilização de caminhão carroceria (máximo)</t>
  </si>
  <si>
    <t xml:space="preserve">H</t>
  </si>
  <si>
    <t xml:space="preserve">7.2</t>
  </si>
  <si>
    <t xml:space="preserve">Mobilização e desmobilização de conteiner locado para barracão de obra</t>
  </si>
  <si>
    <t xml:space="preserve">7.3</t>
  </si>
  <si>
    <t xml:space="preserve">Placa de obra nas dimensões de 2.0 x 4.0 m, padrão IOPES</t>
  </si>
  <si>
    <t xml:space="preserve">m2</t>
  </si>
  <si>
    <t xml:space="preserve">7.4</t>
  </si>
  <si>
    <t xml:space="preserve">Carregadeira de rodas ref. Caterpillar modelo 924H (1,9m3) (cab + ar) ou equivalente</t>
  </si>
  <si>
    <t xml:space="preserve">7.5</t>
  </si>
  <si>
    <t xml:space="preserve">Grama em placas, fornecimento e plantio (sem fixação com estacas)</t>
  </si>
  <si>
    <t xml:space="preserve">TOTAIS</t>
  </si>
  <si>
    <t xml:space="preserve">VALOR INICIAL DO CONTRATO </t>
  </si>
  <si>
    <t xml:space="preserve">POSIÇÃO FÍSICA DO CONTRATO</t>
  </si>
  <si>
    <t xml:space="preserve">POSIÇÃO FINANCEIRA DO CONTRATO</t>
  </si>
  <si>
    <t xml:space="preserve">VALOR DO ADITIVO</t>
  </si>
  <si>
    <t xml:space="preserve">% </t>
  </si>
  <si>
    <t xml:space="preserve">VALOR TOTAL DO CONTRATO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</si>
  <si>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</si>
  <si>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</si>
  <si>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</si>
  <si>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</si>
  <si>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JÚNIOR</t>
  </si>
  <si>
    <t xml:space="preserve">ENGENHEIRO CIVIL CREA ES 20109/D</t>
  </si>
  <si>
    <t xml:space="preserve">Reajustamento Planilha Base - Fonte DNIT</t>
  </si>
  <si>
    <t xml:space="preserve">Índices</t>
  </si>
  <si>
    <t xml:space="preserve">Grupo de Serviços</t>
  </si>
  <si>
    <t xml:space="preserve">Reajuste</t>
  </si>
  <si>
    <t xml:space="preserve">Terraplenagem</t>
  </si>
  <si>
    <t xml:space="preserve">Drenagem</t>
  </si>
  <si>
    <t xml:space="preserve">OBRAS DE ARTE ESPECIAIS (Sem Aço)</t>
  </si>
  <si>
    <t xml:space="preserve">OBRAS DE ARTE ESPECIAIS </t>
  </si>
  <si>
    <t xml:space="preserve">Sinalização Vertical</t>
  </si>
  <si>
    <t xml:space="preserve">Mobilização e Desmobilização</t>
  </si>
  <si>
    <t xml:space="preserve">OBS: todos os itens, exceto o 05.07 (SICRO ABRIL 2021) e 03.02 (DER EDIF. 2021)</t>
  </si>
  <si>
    <t xml:space="preserve">OBS: Devido ao sistema de arredondamento das planilhas do LibreOffice Calc., na 6ª Medição foi pago um valor superior ao previsto na planilha inicial para os itens 5.3 (R$ 0,46) e 5.5 (R$ 0,03). Deste modo, estes valores serão descontados nesta medição.</t>
  </si>
  <si>
    <t xml:space="preserve">PREFEITURA MUNICIPAL DE SÃO ROQUE DO CANAÃ</t>
  </si>
  <si>
    <t xml:space="preserve">Memória de cálculo 10ª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</si>
  <si>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muro de contenção e estabilização de taludes em área de risco</t>
    </r>
  </si>
  <si>
    <t xml:space="preserve">Data: 13/02/2023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</si>
  <si>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Ruas Antônio Gil Veloso, Centro e Miguel Ângelo Piontkovsky, Bairro Nossa Senhora das Graças, neste Município</t>
    </r>
  </si>
  <si>
    <t xml:space="preserve">Item</t>
  </si>
  <si>
    <t xml:space="preserve">Descrição</t>
  </si>
  <si>
    <t xml:space="preserve">Und</t>
  </si>
  <si>
    <t xml:space="preserve">Quant.</t>
  </si>
  <si>
    <t xml:space="preserve">1,00 mês</t>
  </si>
  <si>
    <t xml:space="preserve">Conforme projeto: 20,00 m</t>
  </si>
  <si>
    <t xml:space="preserve">Conforme projeto: 30,00 m</t>
  </si>
  <si>
    <t xml:space="preserve">Conforme projeto: 2,00 und</t>
  </si>
  <si>
    <r>
      <rPr>
        <sz val="12"/>
        <rFont val="Times New Roman"/>
        <family val="1"/>
        <charset val="1"/>
      </rPr>
      <t xml:space="preserve">Aplicação para o solo grampeado: (41,20 m x 17,80 m x 0,10 m) + </t>
    </r>
    <r>
      <rPr>
        <sz val="12"/>
        <rFont val="Times New Roman"/>
        <family val="1"/>
      </rPr>
      <t xml:space="preserve">(22,00 m x 25,10 m x 0,10 m) + (12,53 m x 17,11 m x 0,10 m)</t>
    </r>
    <r>
      <rPr>
        <sz val="12"/>
        <rFont val="Times New Roman"/>
        <family val="1"/>
        <charset val="1"/>
      </rPr>
      <t xml:space="preserve"> = 150,00 m³</t>
    </r>
  </si>
</sst>
</file>

<file path=xl/styles.xml><?xml version="1.0" encoding="utf-8"?>
<styleSheet xmlns="http://schemas.openxmlformats.org/spreadsheetml/2006/main">
  <numFmts count="17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#,##0.00"/>
    <numFmt numFmtId="174" formatCode="[$R$-416]\ #,##0.00;[RED]\-[$R$-416]\ #,##0.00"/>
    <numFmt numFmtId="175" formatCode="_-* #,##0.000_-;\-* #,##0.000_-;_-* \-???_-;_-@_-"/>
    <numFmt numFmtId="176" formatCode="[$R$-416]\ #,##0.00000000;[RED]\-[$R$-416]\ #,##0.00000000"/>
    <numFmt numFmtId="177" formatCode="[$R$-416]\ #,##0.00000000000000;[RED]\-[$R$-416]\ #,##0.00000000000000"/>
    <numFmt numFmtId="178" formatCode="@"/>
    <numFmt numFmtId="179" formatCode="mmm/yy"/>
    <numFmt numFmtId="180" formatCode="_-* #,##0.000_-;\-* #,##0.000_-;_-* \-??_-;_-@_-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color rgb="FF000000"/>
      <name val="Arial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sz val="9"/>
      <name val="Calibri"/>
      <family val="2"/>
      <charset val="1"/>
    </font>
    <font>
      <b val="true"/>
      <sz val="11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DEDED"/>
      </patternFill>
    </fill>
    <fill>
      <patternFill patternType="solid">
        <fgColor rgb="FFD9D9D9"/>
        <bgColor rgb="FFD0CECE"/>
      </patternFill>
    </fill>
    <fill>
      <patternFill patternType="solid">
        <fgColor rgb="FFEDEDED"/>
        <bgColor rgb="FFFFFFFF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FFFF00"/>
        <bgColor rgb="FFFFFF00"/>
      </patternFill>
    </fill>
  </fills>
  <borders count="5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/>
      <right style="medium"/>
      <top style="medium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9" fillId="0" borderId="0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5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5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6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6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1" fillId="6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2" fillId="6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7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7" borderId="15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7" borderId="23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7" borderId="24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7" borderId="24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24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25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26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27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5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4" borderId="9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4" borderId="29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4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4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4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73" fontId="0" fillId="4" borderId="29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4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4" borderId="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4" borderId="30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3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31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9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30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2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4" borderId="29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8" fillId="4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7" borderId="9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7" borderId="29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11" fillId="7" borderId="15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28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24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4" borderId="29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4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4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4" borderId="29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9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0" borderId="31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30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29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29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29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0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4" borderId="29" xfId="22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4" borderId="29" xfId="22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4" borderId="29" xfId="22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6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4" borderId="2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7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2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4" borderId="2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7" fillId="4" borderId="29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7" borderId="9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1" fillId="7" borderId="32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33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34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32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1" fillId="7" borderId="33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4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7" borderId="33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3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35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31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1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7" borderId="1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78" fontId="11" fillId="7" borderId="3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0" fontId="11" fillId="7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7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31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11" fillId="0" borderId="0" xfId="3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31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31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4" borderId="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8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11" fillId="0" borderId="49" xfId="31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5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5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51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51" xfId="31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51" xfId="31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4" borderId="51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51" xfId="31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51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51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52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9" fillId="0" borderId="23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79" fontId="19" fillId="0" borderId="29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9" fontId="19" fillId="0" borderId="0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9" fontId="19" fillId="0" borderId="2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9" fontId="12" fillId="4" borderId="29" xfId="3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9" fontId="12" fillId="4" borderId="0" xfId="3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80" fontId="16" fillId="4" borderId="29" xfId="3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0" fontId="16" fillId="4" borderId="0" xfId="3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0" fillId="4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0" fillId="4" borderId="0" xfId="0" applyFont="false" applyBorder="false" applyAlignment="true" applyProtection="true">
      <alignment horizontal="right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19" fillId="0" borderId="2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9" fontId="19" fillId="0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0" fillId="0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0" xfId="3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5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1" fillId="0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1" fillId="0" borderId="8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8" borderId="10" xfId="2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1" fillId="8" borderId="1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8" borderId="11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8" borderId="12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54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3" fillId="0" borderId="55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3" fillId="0" borderId="4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0" borderId="43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9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23" fillId="0" borderId="5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0" borderId="30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53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4" fillId="0" borderId="9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4" borderId="41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4" borderId="43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4" borderId="9" xfId="27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2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2 2 2 2" xfId="23"/>
    <cellStyle name="Normal 3" xfId="24"/>
    <cellStyle name="Normal 5 2" xfId="25"/>
    <cellStyle name="Normal 5 2 2" xfId="26"/>
    <cellStyle name="Normal 6 2" xfId="27"/>
    <cellStyle name="Normal 7 2" xfId="28"/>
    <cellStyle name="Normal 7 3" xfId="29"/>
    <cellStyle name="Normal 8" xfId="30"/>
    <cellStyle name="Vírgula 2" xfId="31"/>
    <cellStyle name="Vírgula 2 13 3" xfId="32"/>
    <cellStyle name="Vírgula 5 2" xfId="33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80808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6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7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471240</xdr:colOff>
      <xdr:row>1</xdr:row>
      <xdr:rowOff>29880</xdr:rowOff>
    </xdr:from>
    <xdr:to>
      <xdr:col>8</xdr:col>
      <xdr:colOff>720360</xdr:colOff>
      <xdr:row>7</xdr:row>
      <xdr:rowOff>42840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8879760" y="192600"/>
          <a:ext cx="997200" cy="9882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717840</xdr:colOff>
      <xdr:row>6</xdr:row>
      <xdr:rowOff>207720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6760" cy="10706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B1048576"/>
  <sheetViews>
    <sheetView showFormulas="false" showGridLines="true" showRowColHeaders="true" showZeros="true" rightToLeft="false" tabSelected="false" showOutlineSymbols="true" defaultGridColor="true" view="pageBreakPreview" topLeftCell="B1" colorId="64" zoomScale="100" zoomScaleNormal="100" zoomScalePageLayoutView="100" workbookViewId="0">
      <pane xSplit="0" ySplit="8" topLeftCell="A72" activePane="bottomLeft" state="frozen"/>
      <selection pane="topLeft" activeCell="B1" activeCellId="0" sqref="B1"/>
      <selection pane="bottomLeft" activeCell="O86" activeCellId="0" sqref="O86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48.1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6" min="5" style="1" width="14.14"/>
    <col collapsed="false" customWidth="true" hidden="false" outlineLevel="0" max="7" min="7" style="1" width="15.71"/>
    <col collapsed="false" customWidth="true" hidden="false" outlineLevel="0" max="9" min="8" style="1" width="10.61"/>
    <col collapsed="false" customWidth="true" hidden="false" outlineLevel="0" max="10" min="10" style="1" width="12.28"/>
    <col collapsed="false" customWidth="true" hidden="false" outlineLevel="0" max="11" min="11" style="1" width="10.61"/>
    <col collapsed="false" customWidth="true" hidden="false" outlineLevel="0" max="12" min="12" style="1" width="17.52"/>
    <col collapsed="false" customWidth="true" hidden="false" outlineLevel="0" max="13" min="13" style="1" width="11.53"/>
    <col collapsed="false" customWidth="true" hidden="false" outlineLevel="0" max="14" min="14" style="1" width="14.87"/>
    <col collapsed="false" customWidth="true" hidden="false" outlineLevel="0" max="15" min="15" style="1" width="13.15"/>
    <col collapsed="false" customWidth="true" hidden="false" outlineLevel="0" max="16" min="16" style="1" width="11.43"/>
    <col collapsed="false" customWidth="true" hidden="false" outlineLevel="0" max="17" min="17" style="1" width="10.29"/>
    <col collapsed="false" customWidth="true" hidden="false" outlineLevel="0" max="18" min="18" style="1" width="12.57"/>
    <col collapsed="false" customWidth="true" hidden="false" outlineLevel="0" max="19" min="19" style="1" width="9.29"/>
    <col collapsed="false" customWidth="true" hidden="false" outlineLevel="0" max="20" min="20" style="1" width="23.22"/>
    <col collapsed="false" customWidth="true" hidden="false" outlineLevel="0" max="23" min="21" style="1" width="10.57"/>
  </cols>
  <sheetData>
    <row r="1" s="4" customFormat="true" ht="12.8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U1" s="5"/>
      <c r="W1" s="6"/>
      <c r="X1" s="1"/>
      <c r="Y1" s="1"/>
      <c r="Z1" s="1"/>
      <c r="AA1" s="1"/>
      <c r="AB1" s="1"/>
    </row>
    <row r="2" s="4" customFormat="true" ht="12.8" hidden="false" customHeight="tru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U2" s="5"/>
      <c r="W2" s="6"/>
      <c r="X2" s="1"/>
      <c r="Y2" s="1"/>
      <c r="Z2" s="1"/>
      <c r="AA2" s="1"/>
      <c r="AB2" s="1"/>
    </row>
    <row r="3" s="4" customFormat="true" ht="12.8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U3" s="5"/>
      <c r="W3" s="6"/>
      <c r="X3" s="1"/>
      <c r="Y3" s="1"/>
      <c r="Z3" s="1"/>
      <c r="AA3" s="1"/>
      <c r="AB3" s="1"/>
    </row>
    <row r="4" s="4" customFormat="true" ht="12.8" hidden="false" customHeight="tru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U4" s="5"/>
      <c r="W4" s="6"/>
      <c r="X4" s="1"/>
      <c r="Y4" s="1"/>
      <c r="Z4" s="1"/>
      <c r="AA4" s="1"/>
      <c r="AB4" s="1"/>
    </row>
    <row r="5" s="4" customFormat="true" ht="12.8" hidden="false" customHeight="true" outlineLevel="0" collapsed="false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U5" s="5"/>
      <c r="W5" s="6"/>
      <c r="X5" s="1"/>
      <c r="Y5" s="1"/>
      <c r="Z5" s="1"/>
      <c r="AA5" s="1"/>
      <c r="AB5" s="1"/>
    </row>
    <row r="6" s="4" customFormat="true" ht="12.8" hidden="false" customHeight="true" outlineLevel="0" collapsed="false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U6" s="5"/>
      <c r="W6" s="6"/>
      <c r="X6" s="1"/>
      <c r="Y6" s="1"/>
      <c r="Z6" s="1"/>
      <c r="AA6" s="1"/>
      <c r="AB6" s="1"/>
    </row>
    <row r="7" s="4" customFormat="true" ht="12.8" hidden="false" customHeight="true" outlineLevel="0" collapsed="false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U7" s="5"/>
      <c r="W7" s="6"/>
      <c r="X7" s="1"/>
      <c r="Y7" s="1"/>
      <c r="Z7" s="1"/>
      <c r="AA7" s="1"/>
      <c r="AB7" s="1"/>
    </row>
    <row r="8" s="4" customFormat="true" ht="12.8" hidden="false" customHeight="true" outlineLevel="0" collapsed="false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U8" s="5"/>
      <c r="W8" s="6"/>
      <c r="X8" s="1"/>
      <c r="Y8" s="1"/>
      <c r="Z8" s="1"/>
      <c r="AA8" s="1"/>
      <c r="AB8" s="1"/>
    </row>
    <row r="9" s="4" customFormat="true" ht="12.8" hidden="false" customHeight="true" outlineLevel="0" collapsed="false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U9" s="5"/>
      <c r="W9" s="6"/>
      <c r="X9" s="1"/>
      <c r="Y9" s="1"/>
      <c r="Z9" s="1"/>
      <c r="AA9" s="1"/>
      <c r="AB9" s="1"/>
    </row>
    <row r="10" s="4" customFormat="true" ht="12.8" hidden="false" customHeight="true" outlineLevel="0" collapsed="false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U10" s="5"/>
      <c r="W10" s="6"/>
      <c r="X10" s="1"/>
      <c r="Y10" s="1"/>
      <c r="Z10" s="1"/>
      <c r="AA10" s="1"/>
      <c r="AB10" s="1"/>
    </row>
    <row r="11" s="4" customFormat="true" ht="12.8" hidden="false" customHeight="true" outlineLevel="0" collapsed="false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U11" s="5"/>
      <c r="W11" s="6"/>
      <c r="X11" s="1"/>
      <c r="Y11" s="1"/>
      <c r="Z11" s="1"/>
      <c r="AA11" s="1"/>
      <c r="AB11" s="1"/>
    </row>
    <row r="12" s="4" customFormat="true" ht="12.75" hidden="false" customHeight="true" outlineLevel="0" collapsed="false">
      <c r="A12" s="7" t="s">
        <v>1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 t="s">
        <v>2</v>
      </c>
      <c r="Q12" s="8"/>
      <c r="R12" s="8"/>
      <c r="S12" s="8"/>
      <c r="U12" s="5"/>
      <c r="W12" s="6"/>
      <c r="X12" s="1"/>
      <c r="Y12" s="1"/>
      <c r="Z12" s="1"/>
      <c r="AA12" s="1"/>
      <c r="AB12" s="1"/>
    </row>
    <row r="13" s="4" customFormat="true" ht="8.25" hidden="false" customHeight="true" outlineLevel="0" collapsed="false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8"/>
      <c r="Q13" s="8"/>
      <c r="R13" s="8"/>
      <c r="S13" s="8"/>
      <c r="U13" s="5"/>
      <c r="W13" s="6"/>
      <c r="X13" s="1"/>
      <c r="Y13" s="1"/>
      <c r="Z13" s="1"/>
      <c r="AA13" s="1"/>
      <c r="AB13" s="1"/>
    </row>
    <row r="14" s="4" customFormat="true" ht="17.25" hidden="false" customHeight="true" outlineLevel="0" collapsed="false">
      <c r="A14" s="9" t="s">
        <v>3</v>
      </c>
      <c r="B14" s="9"/>
      <c r="C14" s="9"/>
      <c r="D14" s="10" t="s">
        <v>4</v>
      </c>
      <c r="E14" s="10"/>
      <c r="F14" s="10"/>
      <c r="G14" s="10"/>
      <c r="H14" s="11" t="s">
        <v>5</v>
      </c>
      <c r="I14" s="11"/>
      <c r="J14" s="11"/>
      <c r="K14" s="11"/>
      <c r="L14" s="11"/>
      <c r="M14" s="12" t="s">
        <v>6</v>
      </c>
      <c r="N14" s="12"/>
      <c r="O14" s="12"/>
      <c r="P14" s="13" t="s">
        <v>7</v>
      </c>
      <c r="Q14" s="13"/>
      <c r="R14" s="14" t="n">
        <v>44634</v>
      </c>
      <c r="S14" s="14"/>
      <c r="T14" s="15"/>
      <c r="U14" s="16"/>
      <c r="V14" s="15"/>
      <c r="W14" s="17"/>
      <c r="X14" s="1"/>
      <c r="Y14" s="1"/>
      <c r="Z14" s="1"/>
      <c r="AA14" s="1"/>
      <c r="AB14" s="1"/>
    </row>
    <row r="15" s="4" customFormat="true" ht="12.75" hidden="false" customHeight="true" outlineLevel="0" collapsed="false">
      <c r="A15" s="9"/>
      <c r="B15" s="9"/>
      <c r="C15" s="9"/>
      <c r="D15" s="10"/>
      <c r="E15" s="10"/>
      <c r="F15" s="10"/>
      <c r="G15" s="10"/>
      <c r="H15" s="11"/>
      <c r="I15" s="11"/>
      <c r="J15" s="11"/>
      <c r="K15" s="11"/>
      <c r="L15" s="11"/>
      <c r="M15" s="12"/>
      <c r="N15" s="12"/>
      <c r="O15" s="12"/>
      <c r="P15" s="18" t="s">
        <v>8</v>
      </c>
      <c r="Q15" s="18"/>
      <c r="R15" s="19" t="n">
        <v>44998</v>
      </c>
      <c r="S15" s="19"/>
      <c r="T15" s="20" t="n">
        <v>0.1557</v>
      </c>
      <c r="U15" s="16"/>
      <c r="V15" s="15"/>
      <c r="W15" s="17"/>
      <c r="X15" s="1"/>
      <c r="Y15" s="1"/>
      <c r="Z15" s="1"/>
      <c r="AA15" s="1"/>
      <c r="AB15" s="1"/>
    </row>
    <row r="16" s="4" customFormat="true" ht="43.5" hidden="false" customHeight="true" outlineLevel="0" collapsed="false">
      <c r="A16" s="21" t="s">
        <v>9</v>
      </c>
      <c r="B16" s="21"/>
      <c r="C16" s="21"/>
      <c r="D16" s="21"/>
      <c r="E16" s="21"/>
      <c r="F16" s="21"/>
      <c r="G16" s="21"/>
      <c r="H16" s="22" t="s">
        <v>10</v>
      </c>
      <c r="I16" s="22"/>
      <c r="J16" s="22"/>
      <c r="K16" s="23" t="n">
        <v>44933</v>
      </c>
      <c r="L16" s="23"/>
      <c r="M16" s="24" t="s">
        <v>11</v>
      </c>
      <c r="N16" s="25" t="n">
        <v>44965</v>
      </c>
      <c r="O16" s="25"/>
      <c r="P16" s="26" t="s">
        <v>12</v>
      </c>
      <c r="Q16" s="26"/>
      <c r="R16" s="27" t="s">
        <v>13</v>
      </c>
      <c r="S16" s="27"/>
      <c r="T16" s="20" t="n">
        <v>0.2855</v>
      </c>
      <c r="U16" s="16"/>
      <c r="V16" s="15"/>
      <c r="W16" s="17"/>
      <c r="X16" s="1"/>
      <c r="Y16" s="1"/>
      <c r="Z16" s="1"/>
      <c r="AA16" s="1"/>
      <c r="AB16" s="1"/>
    </row>
    <row r="17" s="4" customFormat="true" ht="18.75" hidden="false" customHeight="true" outlineLevel="0" collapsed="false">
      <c r="A17" s="28" t="s">
        <v>14</v>
      </c>
      <c r="B17" s="28"/>
      <c r="C17" s="28"/>
      <c r="D17" s="28"/>
      <c r="E17" s="28"/>
      <c r="F17" s="28"/>
      <c r="G17" s="28"/>
      <c r="H17" s="29" t="s">
        <v>15</v>
      </c>
      <c r="I17" s="29"/>
      <c r="J17" s="29"/>
      <c r="K17" s="30" t="str">
        <f aca="false">N18</f>
        <v>MEDIÇÃO 10</v>
      </c>
      <c r="L17" s="30"/>
      <c r="M17" s="30"/>
      <c r="N17" s="31" t="n">
        <f aca="false">O86</f>
        <v>101396.180032</v>
      </c>
      <c r="O17" s="31"/>
      <c r="P17" s="32" t="s">
        <v>16</v>
      </c>
      <c r="Q17" s="33" t="n">
        <f aca="false">M89</f>
        <v>0.0372946577840539</v>
      </c>
      <c r="R17" s="34" t="s">
        <v>17</v>
      </c>
      <c r="S17" s="35" t="n">
        <f aca="false">M90</f>
        <v>0.964315325720199</v>
      </c>
      <c r="T17" s="15"/>
      <c r="U17" s="16"/>
      <c r="V17" s="15"/>
      <c r="W17" s="17"/>
      <c r="X17" s="1"/>
      <c r="Y17" s="1"/>
      <c r="Z17" s="1"/>
      <c r="AA17" s="1"/>
      <c r="AB17" s="1"/>
    </row>
    <row r="18" s="4" customFormat="true" ht="16.5" hidden="false" customHeight="true" outlineLevel="0" collapsed="false">
      <c r="A18" s="36" t="s">
        <v>18</v>
      </c>
      <c r="B18" s="37" t="s">
        <v>19</v>
      </c>
      <c r="C18" s="37" t="s">
        <v>20</v>
      </c>
      <c r="D18" s="38" t="s">
        <v>21</v>
      </c>
      <c r="E18" s="39" t="s">
        <v>22</v>
      </c>
      <c r="F18" s="39" t="s">
        <v>23</v>
      </c>
      <c r="G18" s="39" t="s">
        <v>24</v>
      </c>
      <c r="H18" s="40" t="s">
        <v>25</v>
      </c>
      <c r="I18" s="41" t="s">
        <v>26</v>
      </c>
      <c r="J18" s="42" t="s">
        <v>27</v>
      </c>
      <c r="K18" s="29" t="s">
        <v>28</v>
      </c>
      <c r="L18" s="29"/>
      <c r="M18" s="29"/>
      <c r="N18" s="43" t="s">
        <v>29</v>
      </c>
      <c r="O18" s="43"/>
      <c r="P18" s="43"/>
      <c r="Q18" s="44" t="s">
        <v>30</v>
      </c>
      <c r="R18" s="44"/>
      <c r="S18" s="44"/>
      <c r="T18" s="2"/>
      <c r="U18" s="45"/>
      <c r="V18" s="2"/>
      <c r="W18" s="46"/>
      <c r="X18" s="1"/>
      <c r="Y18" s="1"/>
      <c r="Z18" s="1"/>
      <c r="AA18" s="1"/>
      <c r="AB18" s="1"/>
    </row>
    <row r="19" s="15" customFormat="true" ht="14.25" hidden="false" customHeight="true" outlineLevel="0" collapsed="false">
      <c r="A19" s="36"/>
      <c r="B19" s="37"/>
      <c r="C19" s="37"/>
      <c r="D19" s="38"/>
      <c r="E19" s="39"/>
      <c r="F19" s="39"/>
      <c r="G19" s="39"/>
      <c r="H19" s="39"/>
      <c r="I19" s="39"/>
      <c r="J19" s="42"/>
      <c r="K19" s="47" t="s">
        <v>21</v>
      </c>
      <c r="L19" s="38" t="s">
        <v>27</v>
      </c>
      <c r="M19" s="48" t="s">
        <v>31</v>
      </c>
      <c r="N19" s="47" t="s">
        <v>21</v>
      </c>
      <c r="O19" s="49" t="s">
        <v>27</v>
      </c>
      <c r="P19" s="48" t="s">
        <v>31</v>
      </c>
      <c r="Q19" s="50" t="s">
        <v>21</v>
      </c>
      <c r="R19" s="49" t="s">
        <v>27</v>
      </c>
      <c r="S19" s="48" t="s">
        <v>31</v>
      </c>
      <c r="T19" s="2" t="s">
        <v>21</v>
      </c>
      <c r="U19" s="51"/>
      <c r="V19" s="2"/>
      <c r="W19" s="46"/>
      <c r="X19" s="1"/>
      <c r="Y19" s="1"/>
      <c r="Z19" s="1"/>
      <c r="AA19" s="1"/>
      <c r="AB19" s="1"/>
    </row>
    <row r="20" s="15" customFormat="true" ht="13.8" hidden="false" customHeight="false" outlineLevel="0" collapsed="false">
      <c r="A20" s="52" t="s">
        <v>32</v>
      </c>
      <c r="B20" s="53" t="s">
        <v>33</v>
      </c>
      <c r="C20" s="54"/>
      <c r="D20" s="55"/>
      <c r="E20" s="55"/>
      <c r="F20" s="55"/>
      <c r="G20" s="56"/>
      <c r="H20" s="57"/>
      <c r="I20" s="58"/>
      <c r="J20" s="59"/>
      <c r="K20" s="60"/>
      <c r="L20" s="61"/>
      <c r="M20" s="62"/>
      <c r="N20" s="60"/>
      <c r="O20" s="61"/>
      <c r="P20" s="62"/>
      <c r="Q20" s="61"/>
      <c r="R20" s="61"/>
      <c r="S20" s="62"/>
      <c r="T20" s="1"/>
      <c r="U20" s="1"/>
      <c r="V20" s="1"/>
      <c r="W20" s="1"/>
      <c r="X20" s="1"/>
      <c r="Y20" s="1"/>
      <c r="Z20" s="1"/>
      <c r="AA20" s="1"/>
      <c r="AB20" s="1"/>
    </row>
    <row r="21" s="15" customFormat="true" ht="13.8" hidden="false" customHeight="false" outlineLevel="0" collapsed="false">
      <c r="A21" s="63" t="s">
        <v>34</v>
      </c>
      <c r="B21" s="64" t="s">
        <v>35</v>
      </c>
      <c r="C21" s="65" t="s">
        <v>36</v>
      </c>
      <c r="D21" s="66" t="n">
        <v>12</v>
      </c>
      <c r="E21" s="67" t="n">
        <v>307.00669</v>
      </c>
      <c r="F21" s="68" t="n">
        <v>359.191</v>
      </c>
      <c r="G21" s="69" t="n">
        <f aca="false">F21*(1+$T$16)</f>
        <v>461.7400305</v>
      </c>
      <c r="H21" s="70"/>
      <c r="I21" s="69"/>
      <c r="J21" s="71" t="n">
        <f aca="false">H21+D21-I21</f>
        <v>12</v>
      </c>
      <c r="K21" s="70" t="n">
        <v>9</v>
      </c>
      <c r="L21" s="72" t="n">
        <f aca="false">K21*G21</f>
        <v>4155.6602745</v>
      </c>
      <c r="M21" s="73" t="n">
        <f aca="false">K21/J21</f>
        <v>0.75</v>
      </c>
      <c r="N21" s="66" t="n">
        <v>1</v>
      </c>
      <c r="O21" s="74" t="n">
        <f aca="false">N21*G21</f>
        <v>461.7400305</v>
      </c>
      <c r="P21" s="73" t="n">
        <f aca="false">N21/J21</f>
        <v>0.0833333333333333</v>
      </c>
      <c r="Q21" s="75" t="n">
        <f aca="false">K21+N21</f>
        <v>10</v>
      </c>
      <c r="R21" s="76" t="n">
        <f aca="false">ROUND(SUM(L21+O21),2)</f>
        <v>4617.4</v>
      </c>
      <c r="S21" s="77" t="n">
        <f aca="false">M21+P21</f>
        <v>0.833333333333333</v>
      </c>
      <c r="T21" s="78" t="n">
        <v>9</v>
      </c>
      <c r="U21" s="79" t="b">
        <f aca="false">R21=T21</f>
        <v>0</v>
      </c>
      <c r="V21" s="80"/>
      <c r="W21" s="80"/>
      <c r="X21" s="1"/>
      <c r="Y21" s="1"/>
      <c r="Z21" s="1"/>
      <c r="AA21" s="1"/>
      <c r="AB21" s="1"/>
    </row>
    <row r="22" s="15" customFormat="true" ht="32.8" hidden="false" customHeight="false" outlineLevel="0" collapsed="false">
      <c r="A22" s="63" t="s">
        <v>37</v>
      </c>
      <c r="B22" s="81" t="s">
        <v>38</v>
      </c>
      <c r="C22" s="82" t="s">
        <v>36</v>
      </c>
      <c r="D22" s="68" t="n">
        <v>12</v>
      </c>
      <c r="E22" s="66" t="n">
        <v>444.205319493999</v>
      </c>
      <c r="F22" s="68" t="n">
        <v>519.712</v>
      </c>
      <c r="G22" s="69" t="n">
        <f aca="false">F22*(1+$T$16)</f>
        <v>668.089776</v>
      </c>
      <c r="H22" s="70"/>
      <c r="I22" s="69"/>
      <c r="J22" s="71" t="n">
        <f aca="false">H22+D22-I22</f>
        <v>12</v>
      </c>
      <c r="K22" s="70" t="n">
        <v>9</v>
      </c>
      <c r="L22" s="72" t="n">
        <f aca="false">K22*G22</f>
        <v>6012.807984</v>
      </c>
      <c r="M22" s="73" t="n">
        <f aca="false">K22/J22</f>
        <v>0.75</v>
      </c>
      <c r="N22" s="66" t="n">
        <v>1</v>
      </c>
      <c r="O22" s="74" t="n">
        <f aca="false">N22*G22</f>
        <v>668.089776</v>
      </c>
      <c r="P22" s="73" t="n">
        <f aca="false">N22/J22</f>
        <v>0.0833333333333333</v>
      </c>
      <c r="Q22" s="75" t="n">
        <f aca="false">K22+N22</f>
        <v>10</v>
      </c>
      <c r="R22" s="76" t="n">
        <f aca="false">ROUND(SUM(L22+O22),2)</f>
        <v>6680.9</v>
      </c>
      <c r="S22" s="77" t="n">
        <f aca="false">M22+P22</f>
        <v>0.833333333333333</v>
      </c>
      <c r="T22" s="78" t="n">
        <v>9</v>
      </c>
      <c r="U22" s="83"/>
      <c r="V22" s="83"/>
      <c r="W22" s="84" t="n">
        <f aca="false">210.07/((1+$T$16))</f>
        <v>163.41501361338</v>
      </c>
      <c r="X22" s="1"/>
      <c r="Y22" s="1"/>
      <c r="Z22" s="1"/>
      <c r="AA22" s="1"/>
      <c r="AB22" s="1"/>
    </row>
    <row r="23" s="2" customFormat="true" ht="32.8" hidden="false" customHeight="false" outlineLevel="0" collapsed="false">
      <c r="A23" s="63" t="s">
        <v>39</v>
      </c>
      <c r="B23" s="81" t="s">
        <v>40</v>
      </c>
      <c r="C23" s="82" t="s">
        <v>36</v>
      </c>
      <c r="D23" s="68" t="n">
        <v>12</v>
      </c>
      <c r="E23" s="66" t="n">
        <v>942.5</v>
      </c>
      <c r="F23" s="68" t="n">
        <v>1102.707</v>
      </c>
      <c r="G23" s="69" t="n">
        <f aca="false">F23*(1+$T$16)</f>
        <v>1417.5298485</v>
      </c>
      <c r="H23" s="70"/>
      <c r="I23" s="69"/>
      <c r="J23" s="71" t="n">
        <f aca="false">H23+D23-I23</f>
        <v>12</v>
      </c>
      <c r="K23" s="70" t="n">
        <v>9</v>
      </c>
      <c r="L23" s="72" t="n">
        <f aca="false">K23*G23</f>
        <v>12757.7686365</v>
      </c>
      <c r="M23" s="73" t="n">
        <f aca="false">K23/J23</f>
        <v>0.75</v>
      </c>
      <c r="N23" s="66" t="n">
        <v>1</v>
      </c>
      <c r="O23" s="74" t="n">
        <f aca="false">N23*G23</f>
        <v>1417.5298485</v>
      </c>
      <c r="P23" s="73" t="n">
        <f aca="false">N23/J23</f>
        <v>0.0833333333333333</v>
      </c>
      <c r="Q23" s="75" t="n">
        <f aca="false">K23+N23</f>
        <v>10</v>
      </c>
      <c r="R23" s="76" t="n">
        <f aca="false">ROUND(SUM(L23+O23),2)</f>
        <v>14175.3</v>
      </c>
      <c r="S23" s="77" t="n">
        <f aca="false">M23+P23</f>
        <v>0.833333333333333</v>
      </c>
      <c r="T23" s="78" t="n">
        <v>9</v>
      </c>
      <c r="U23" s="83"/>
      <c r="V23" s="83"/>
      <c r="W23" s="83"/>
      <c r="X23" s="1"/>
      <c r="Y23" s="1"/>
      <c r="Z23" s="1"/>
      <c r="AA23" s="1"/>
      <c r="AB23" s="1"/>
    </row>
    <row r="24" s="2" customFormat="true" ht="22.35" hidden="false" customHeight="false" outlineLevel="0" collapsed="false">
      <c r="A24" s="63" t="s">
        <v>41</v>
      </c>
      <c r="B24" s="81" t="s">
        <v>42</v>
      </c>
      <c r="C24" s="82" t="s">
        <v>36</v>
      </c>
      <c r="D24" s="68" t="n">
        <v>12</v>
      </c>
      <c r="E24" s="66" t="n">
        <v>457.76192020759</v>
      </c>
      <c r="F24" s="68" t="n">
        <v>535.574</v>
      </c>
      <c r="G24" s="69" t="n">
        <f aca="false">F24*(1+$T$16)</f>
        <v>688.480377</v>
      </c>
      <c r="H24" s="70"/>
      <c r="I24" s="69"/>
      <c r="J24" s="71" t="n">
        <f aca="false">H24+D24-I24</f>
        <v>12</v>
      </c>
      <c r="K24" s="70" t="n">
        <v>9</v>
      </c>
      <c r="L24" s="72" t="n">
        <f aca="false">K24*G24</f>
        <v>6196.323393</v>
      </c>
      <c r="M24" s="73" t="n">
        <f aca="false">K24/J24</f>
        <v>0.75</v>
      </c>
      <c r="N24" s="66" t="n">
        <v>1</v>
      </c>
      <c r="O24" s="74" t="n">
        <f aca="false">N24*G24</f>
        <v>688.480377</v>
      </c>
      <c r="P24" s="73" t="n">
        <f aca="false">N24/J24</f>
        <v>0.0833333333333333</v>
      </c>
      <c r="Q24" s="75" t="n">
        <f aca="false">K24+N24</f>
        <v>10</v>
      </c>
      <c r="R24" s="76" t="n">
        <f aca="false">ROUND(SUM(L24+O24),2)</f>
        <v>6884.8</v>
      </c>
      <c r="S24" s="77" t="n">
        <f aca="false">M24+P24</f>
        <v>0.833333333333333</v>
      </c>
      <c r="T24" s="85" t="n">
        <v>9</v>
      </c>
      <c r="U24" s="1"/>
      <c r="V24" s="1"/>
      <c r="W24" s="1"/>
      <c r="X24" s="1"/>
      <c r="Y24" s="1"/>
      <c r="Z24" s="1"/>
      <c r="AA24" s="1"/>
      <c r="AB24" s="1"/>
    </row>
    <row r="25" customFormat="false" ht="22.35" hidden="false" customHeight="false" outlineLevel="0" collapsed="false">
      <c r="A25" s="63" t="s">
        <v>43</v>
      </c>
      <c r="B25" s="81" t="s">
        <v>44</v>
      </c>
      <c r="C25" s="86" t="s">
        <v>45</v>
      </c>
      <c r="D25" s="68" t="n">
        <v>1</v>
      </c>
      <c r="E25" s="66" t="n">
        <v>1293.99124229646</v>
      </c>
      <c r="F25" s="68" t="n">
        <v>1513.948</v>
      </c>
      <c r="G25" s="69" t="n">
        <f aca="false">F25*(1+$T$16)</f>
        <v>1946.180154</v>
      </c>
      <c r="H25" s="70"/>
      <c r="I25" s="69"/>
      <c r="J25" s="71" t="n">
        <f aca="false">H25+D25-I25</f>
        <v>1</v>
      </c>
      <c r="K25" s="70" t="n">
        <v>1</v>
      </c>
      <c r="L25" s="72" t="n">
        <f aca="false">K25*G25</f>
        <v>1946.180154</v>
      </c>
      <c r="M25" s="73" t="n">
        <f aca="false">K25/J25</f>
        <v>1</v>
      </c>
      <c r="N25" s="68"/>
      <c r="O25" s="74" t="n">
        <f aca="false">N25*G25</f>
        <v>0</v>
      </c>
      <c r="P25" s="73" t="n">
        <f aca="false">N25/J25</f>
        <v>0</v>
      </c>
      <c r="Q25" s="75" t="n">
        <f aca="false">K25+N25</f>
        <v>1</v>
      </c>
      <c r="R25" s="76" t="n">
        <f aca="false">ROUND(SUM(L25+O25),2)</f>
        <v>1946.18</v>
      </c>
      <c r="S25" s="77" t="n">
        <f aca="false">M25+P25</f>
        <v>1</v>
      </c>
      <c r="T25" s="78" t="n">
        <v>1</v>
      </c>
      <c r="U25" s="83"/>
      <c r="V25" s="83"/>
      <c r="W25" s="83"/>
      <c r="X25" s="1"/>
      <c r="Y25" s="1"/>
      <c r="Z25" s="1"/>
      <c r="AA25" s="1"/>
      <c r="AB25" s="1"/>
    </row>
    <row r="26" s="83" customFormat="true" ht="32.8" hidden="false" customHeight="false" outlineLevel="0" collapsed="false">
      <c r="A26" s="63" t="s">
        <v>46</v>
      </c>
      <c r="B26" s="81" t="s">
        <v>47</v>
      </c>
      <c r="C26" s="86" t="s">
        <v>48</v>
      </c>
      <c r="D26" s="68" t="n">
        <v>15</v>
      </c>
      <c r="E26" s="66" t="n">
        <v>22.4695913071683</v>
      </c>
      <c r="F26" s="68" t="n">
        <v>26.285</v>
      </c>
      <c r="G26" s="69" t="n">
        <v>33.79</v>
      </c>
      <c r="H26" s="70"/>
      <c r="I26" s="69"/>
      <c r="J26" s="71" t="n">
        <f aca="false">H26+D26-I26</f>
        <v>15</v>
      </c>
      <c r="K26" s="70" t="n">
        <v>15</v>
      </c>
      <c r="L26" s="72" t="n">
        <f aca="false">K26*G26</f>
        <v>506.85</v>
      </c>
      <c r="M26" s="73" t="n">
        <f aca="false">K26/J26</f>
        <v>1</v>
      </c>
      <c r="N26" s="68"/>
      <c r="O26" s="74" t="n">
        <f aca="false">N26*G26</f>
        <v>0</v>
      </c>
      <c r="P26" s="73" t="n">
        <f aca="false">N26/J26</f>
        <v>0</v>
      </c>
      <c r="Q26" s="75" t="n">
        <f aca="false">K26+N26</f>
        <v>15</v>
      </c>
      <c r="R26" s="76" t="n">
        <f aca="false">ROUND(SUM(L26+O26),2)</f>
        <v>506.85</v>
      </c>
      <c r="S26" s="77" t="n">
        <f aca="false">M26+P26</f>
        <v>1</v>
      </c>
      <c r="T26" s="78" t="n">
        <v>15</v>
      </c>
      <c r="X26" s="1"/>
      <c r="Y26" s="1"/>
      <c r="Z26" s="1"/>
      <c r="AA26" s="1"/>
      <c r="AB26" s="1"/>
    </row>
    <row r="27" s="83" customFormat="true" ht="32.8" hidden="false" customHeight="false" outlineLevel="0" collapsed="false">
      <c r="A27" s="63" t="s">
        <v>49</v>
      </c>
      <c r="B27" s="81" t="s">
        <v>50</v>
      </c>
      <c r="C27" s="82" t="s">
        <v>48</v>
      </c>
      <c r="D27" s="68" t="n">
        <v>15</v>
      </c>
      <c r="E27" s="66" t="n">
        <v>321.621391501784</v>
      </c>
      <c r="F27" s="68" t="n">
        <v>376.289</v>
      </c>
      <c r="G27" s="69" t="n">
        <v>483.72</v>
      </c>
      <c r="H27" s="70"/>
      <c r="I27" s="69"/>
      <c r="J27" s="71" t="n">
        <f aca="false">H27+D27-I27</f>
        <v>15</v>
      </c>
      <c r="K27" s="70" t="n">
        <v>15</v>
      </c>
      <c r="L27" s="72" t="n">
        <f aca="false">K27*G27</f>
        <v>7255.8</v>
      </c>
      <c r="M27" s="73" t="n">
        <f aca="false">K27/J27</f>
        <v>1</v>
      </c>
      <c r="N27" s="68"/>
      <c r="O27" s="74" t="n">
        <f aca="false">N27*G27</f>
        <v>0</v>
      </c>
      <c r="P27" s="73" t="n">
        <f aca="false">N27/J27</f>
        <v>0</v>
      </c>
      <c r="Q27" s="75" t="n">
        <f aca="false">K27+N27</f>
        <v>15</v>
      </c>
      <c r="R27" s="76" t="n">
        <f aca="false">ROUND(SUM(L27+O27),2)</f>
        <v>7255.8</v>
      </c>
      <c r="S27" s="77" t="n">
        <f aca="false">M27+P27</f>
        <v>1</v>
      </c>
      <c r="T27" s="78" t="n">
        <v>15</v>
      </c>
      <c r="X27" s="1"/>
      <c r="Y27" s="1"/>
      <c r="Z27" s="1"/>
      <c r="AA27" s="1"/>
      <c r="AB27" s="1"/>
    </row>
    <row r="28" s="83" customFormat="true" ht="32.8" hidden="false" customHeight="false" outlineLevel="0" collapsed="false">
      <c r="A28" s="63" t="s">
        <v>51</v>
      </c>
      <c r="B28" s="81" t="s">
        <v>52</v>
      </c>
      <c r="C28" s="82" t="s">
        <v>53</v>
      </c>
      <c r="D28" s="68" t="n">
        <v>24</v>
      </c>
      <c r="E28" s="66" t="n">
        <v>139.677262406747</v>
      </c>
      <c r="F28" s="68" t="n">
        <v>163.415</v>
      </c>
      <c r="G28" s="69" t="n">
        <f aca="false">F28*(1+$T$16)</f>
        <v>210.0699825</v>
      </c>
      <c r="H28" s="70"/>
      <c r="I28" s="69"/>
      <c r="J28" s="71" t="n">
        <f aca="false">H28+D28-I28</f>
        <v>24</v>
      </c>
      <c r="K28" s="70" t="n">
        <v>24</v>
      </c>
      <c r="L28" s="72" t="n">
        <f aca="false">K28*G28</f>
        <v>5041.67958</v>
      </c>
      <c r="M28" s="73" t="n">
        <f aca="false">K28/J28</f>
        <v>1</v>
      </c>
      <c r="N28" s="68"/>
      <c r="O28" s="74" t="n">
        <f aca="false">N28*G28</f>
        <v>0</v>
      </c>
      <c r="P28" s="73" t="n">
        <f aca="false">N28/J28</f>
        <v>0</v>
      </c>
      <c r="Q28" s="75" t="n">
        <f aca="false">K28+N28</f>
        <v>24</v>
      </c>
      <c r="R28" s="76" t="n">
        <f aca="false">ROUND(SUM(L28+O28),2)</f>
        <v>5041.68</v>
      </c>
      <c r="S28" s="77" t="n">
        <f aca="false">M28+P28</f>
        <v>1</v>
      </c>
      <c r="T28" s="78" t="n">
        <v>24</v>
      </c>
      <c r="X28" s="1"/>
      <c r="Y28" s="1"/>
      <c r="Z28" s="1"/>
      <c r="AA28" s="1"/>
      <c r="AB28" s="1"/>
    </row>
    <row r="29" customFormat="false" ht="13.8" hidden="false" customHeight="false" outlineLevel="0" collapsed="false">
      <c r="A29" s="87" t="s">
        <v>54</v>
      </c>
      <c r="B29" s="88" t="s">
        <v>55</v>
      </c>
      <c r="C29" s="54"/>
      <c r="D29" s="55"/>
      <c r="E29" s="55"/>
      <c r="F29" s="55"/>
      <c r="G29" s="56"/>
      <c r="H29" s="89"/>
      <c r="I29" s="56"/>
      <c r="J29" s="90"/>
      <c r="K29" s="60"/>
      <c r="L29" s="61"/>
      <c r="M29" s="62"/>
      <c r="N29" s="55"/>
      <c r="O29" s="91"/>
      <c r="P29" s="62"/>
      <c r="Q29" s="61"/>
      <c r="R29" s="61"/>
      <c r="S29" s="62"/>
      <c r="T29" s="85"/>
    </row>
    <row r="30" s="83" customFormat="true" ht="13.8" hidden="false" customHeight="false" outlineLevel="0" collapsed="false">
      <c r="A30" s="63" t="s">
        <v>56</v>
      </c>
      <c r="B30" s="81" t="s">
        <v>57</v>
      </c>
      <c r="C30" s="92" t="s">
        <v>53</v>
      </c>
      <c r="D30" s="93" t="n">
        <v>1865.6</v>
      </c>
      <c r="E30" s="66" t="n">
        <v>0.851443399286409</v>
      </c>
      <c r="F30" s="94" t="n">
        <v>0.986</v>
      </c>
      <c r="G30" s="69" t="n">
        <f aca="false">TRUNC(F30*(1+$T$16),2)</f>
        <v>1.26</v>
      </c>
      <c r="H30" s="70"/>
      <c r="I30" s="69"/>
      <c r="J30" s="71" t="n">
        <f aca="false">H30+D30-I30</f>
        <v>1865.6</v>
      </c>
      <c r="K30" s="70" t="n">
        <v>1865.6</v>
      </c>
      <c r="L30" s="72" t="n">
        <f aca="false">K30*G30</f>
        <v>2350.656</v>
      </c>
      <c r="M30" s="73" t="n">
        <f aca="false">K30/J30</f>
        <v>1</v>
      </c>
      <c r="N30" s="93"/>
      <c r="O30" s="74" t="n">
        <f aca="false">N30*G30</f>
        <v>0</v>
      </c>
      <c r="P30" s="73" t="n">
        <f aca="false">N30/J30</f>
        <v>0</v>
      </c>
      <c r="Q30" s="75" t="n">
        <f aca="false">K30+N30</f>
        <v>1865.6</v>
      </c>
      <c r="R30" s="76" t="n">
        <f aca="false">ROUND(SUM(L30+O30),2)</f>
        <v>2350.66</v>
      </c>
      <c r="S30" s="77" t="n">
        <f aca="false">M30+P30</f>
        <v>1</v>
      </c>
      <c r="T30" s="95" t="n">
        <v>1865.6</v>
      </c>
      <c r="U30" s="96"/>
      <c r="V30" s="97" t="n">
        <f aca="false">3.61/((1+$T$16))</f>
        <v>2.80824581874757</v>
      </c>
      <c r="W30" s="96"/>
      <c r="X30" s="1"/>
      <c r="Y30" s="1"/>
      <c r="Z30" s="1"/>
      <c r="AA30" s="1"/>
      <c r="AB30" s="1"/>
    </row>
    <row r="31" s="83" customFormat="true" ht="22.35" hidden="false" customHeight="false" outlineLevel="0" collapsed="false">
      <c r="A31" s="63" t="s">
        <v>58</v>
      </c>
      <c r="B31" s="81" t="s">
        <v>59</v>
      </c>
      <c r="C31" s="92" t="s">
        <v>60</v>
      </c>
      <c r="D31" s="93" t="n">
        <v>2550</v>
      </c>
      <c r="E31" s="66" t="n">
        <v>13.657152124554</v>
      </c>
      <c r="F31" s="94" t="n">
        <f aca="false">E31*$E$102</f>
        <v>15.801325008109</v>
      </c>
      <c r="G31" s="69" t="n">
        <f aca="false">TRUNC(F31*(1+$T$16),2)</f>
        <v>20.31</v>
      </c>
      <c r="H31" s="70"/>
      <c r="I31" s="69"/>
      <c r="J31" s="71" t="n">
        <f aca="false">H31+D31-I31</f>
        <v>2550</v>
      </c>
      <c r="K31" s="70" t="n">
        <v>2550</v>
      </c>
      <c r="L31" s="72" t="n">
        <f aca="false">K31*G31</f>
        <v>51790.5</v>
      </c>
      <c r="M31" s="73" t="n">
        <f aca="false">K31/J31</f>
        <v>1</v>
      </c>
      <c r="N31" s="93"/>
      <c r="O31" s="74" t="n">
        <f aca="false">N31*G31</f>
        <v>0</v>
      </c>
      <c r="P31" s="73" t="n">
        <f aca="false">N31/J31</f>
        <v>0</v>
      </c>
      <c r="Q31" s="75" t="n">
        <f aca="false">K31+N31</f>
        <v>2550</v>
      </c>
      <c r="R31" s="76" t="n">
        <f aca="false">ROUND(SUM(L31+O31),2)</f>
        <v>51790.5</v>
      </c>
      <c r="S31" s="77" t="n">
        <f aca="false">M31+P31</f>
        <v>1</v>
      </c>
      <c r="T31" s="85" t="n">
        <v>2550</v>
      </c>
      <c r="U31" s="1"/>
      <c r="V31" s="1"/>
      <c r="W31" s="1"/>
      <c r="X31" s="1"/>
      <c r="Y31" s="1"/>
      <c r="Z31" s="1"/>
      <c r="AA31" s="1"/>
      <c r="AB31" s="1"/>
    </row>
    <row r="32" s="83" customFormat="true" ht="22.35" hidden="false" customHeight="false" outlineLevel="0" collapsed="false">
      <c r="A32" s="63" t="s">
        <v>61</v>
      </c>
      <c r="B32" s="81" t="s">
        <v>62</v>
      </c>
      <c r="C32" s="92" t="s">
        <v>60</v>
      </c>
      <c r="D32" s="93" t="n">
        <v>255</v>
      </c>
      <c r="E32" s="66" t="n">
        <v>21.8991242296464</v>
      </c>
      <c r="F32" s="94" t="n">
        <f aca="false">E32*$E$102</f>
        <v>25.3372867337009</v>
      </c>
      <c r="G32" s="69" t="n">
        <f aca="false">TRUNC(F32*(1+$T$16),2)</f>
        <v>32.57</v>
      </c>
      <c r="H32" s="70"/>
      <c r="I32" s="69"/>
      <c r="J32" s="71" t="n">
        <f aca="false">H32+D32-I32</f>
        <v>255</v>
      </c>
      <c r="K32" s="70" t="n">
        <v>255</v>
      </c>
      <c r="L32" s="72" t="n">
        <f aca="false">K32*G32</f>
        <v>8305.35</v>
      </c>
      <c r="M32" s="73" t="n">
        <f aca="false">K32/J32</f>
        <v>1</v>
      </c>
      <c r="N32" s="93"/>
      <c r="O32" s="74" t="n">
        <f aca="false">N32*G32</f>
        <v>0</v>
      </c>
      <c r="P32" s="73" t="n">
        <f aca="false">N32/J32</f>
        <v>0</v>
      </c>
      <c r="Q32" s="75" t="n">
        <f aca="false">K32+N32</f>
        <v>255</v>
      </c>
      <c r="R32" s="76" t="n">
        <f aca="false">ROUND(SUM(L32+O32),2)</f>
        <v>8305.35</v>
      </c>
      <c r="S32" s="77" t="n">
        <f aca="false">M32+P32</f>
        <v>1</v>
      </c>
      <c r="T32" s="78" t="n">
        <v>255</v>
      </c>
      <c r="X32" s="1"/>
      <c r="Y32" s="1"/>
      <c r="Z32" s="1"/>
      <c r="AA32" s="1"/>
      <c r="AB32" s="1"/>
    </row>
    <row r="33" s="83" customFormat="true" ht="22.35" hidden="false" customHeight="false" outlineLevel="0" collapsed="false">
      <c r="A33" s="63" t="s">
        <v>63</v>
      </c>
      <c r="B33" s="81" t="s">
        <v>64</v>
      </c>
      <c r="C33" s="92" t="s">
        <v>60</v>
      </c>
      <c r="D33" s="93" t="n">
        <v>153</v>
      </c>
      <c r="E33" s="66" t="n">
        <v>23.6644502108336</v>
      </c>
      <c r="F33" s="94" t="n">
        <v>27.375</v>
      </c>
      <c r="G33" s="69" t="n">
        <f aca="false">TRUNC(F33*(1+$T$16),2)</f>
        <v>35.19</v>
      </c>
      <c r="H33" s="70" t="n">
        <v>246</v>
      </c>
      <c r="I33" s="69"/>
      <c r="J33" s="71" t="n">
        <f aca="false">H33+D33-I33</f>
        <v>399</v>
      </c>
      <c r="K33" s="70" t="n">
        <v>399</v>
      </c>
      <c r="L33" s="72" t="n">
        <f aca="false">K33*G33</f>
        <v>14040.81</v>
      </c>
      <c r="M33" s="73" t="n">
        <f aca="false">K33/J33</f>
        <v>1</v>
      </c>
      <c r="N33" s="93"/>
      <c r="O33" s="74" t="n">
        <f aca="false">N33*G33</f>
        <v>0</v>
      </c>
      <c r="P33" s="73" t="n">
        <f aca="false">N33/J33</f>
        <v>0</v>
      </c>
      <c r="Q33" s="75" t="n">
        <f aca="false">K33+N33</f>
        <v>399</v>
      </c>
      <c r="R33" s="76" t="n">
        <f aca="false">ROUND(SUM(L33+O33),2)</f>
        <v>14040.81</v>
      </c>
      <c r="S33" s="77" t="n">
        <f aca="false">M33+P33</f>
        <v>1</v>
      </c>
      <c r="T33" s="78" t="n">
        <v>399</v>
      </c>
      <c r="X33" s="1"/>
      <c r="Y33" s="1"/>
      <c r="Z33" s="1"/>
      <c r="AA33" s="1"/>
      <c r="AB33" s="1"/>
    </row>
    <row r="34" customFormat="false" ht="13.8" hidden="false" customHeight="false" outlineLevel="0" collapsed="false">
      <c r="A34" s="63" t="s">
        <v>65</v>
      </c>
      <c r="B34" s="81" t="s">
        <v>66</v>
      </c>
      <c r="C34" s="92" t="s">
        <v>60</v>
      </c>
      <c r="D34" s="93" t="n">
        <v>153</v>
      </c>
      <c r="E34" s="66" t="n">
        <v>29.3293869607525</v>
      </c>
      <c r="F34" s="94" t="n">
        <f aca="false">E34*$E$102</f>
        <v>33.9341007135907</v>
      </c>
      <c r="G34" s="69" t="n">
        <f aca="false">TRUNC(F34*(1+$T$16),2)</f>
        <v>43.62</v>
      </c>
      <c r="H34" s="70" t="n">
        <v>246</v>
      </c>
      <c r="I34" s="69"/>
      <c r="J34" s="71" t="n">
        <f aca="false">H34+D34-I34</f>
        <v>399</v>
      </c>
      <c r="K34" s="70" t="n">
        <v>399</v>
      </c>
      <c r="L34" s="72" t="n">
        <f aca="false">K34*G34</f>
        <v>17404.38</v>
      </c>
      <c r="M34" s="73" t="n">
        <f aca="false">K34/J34</f>
        <v>1</v>
      </c>
      <c r="N34" s="93"/>
      <c r="O34" s="74" t="n">
        <f aca="false">N34*G34</f>
        <v>0</v>
      </c>
      <c r="P34" s="73" t="n">
        <f aca="false">N34/J34</f>
        <v>0</v>
      </c>
      <c r="Q34" s="75" t="n">
        <f aca="false">K34+N34</f>
        <v>399</v>
      </c>
      <c r="R34" s="76" t="n">
        <f aca="false">ROUND(SUM(L34+O34),2)</f>
        <v>17404.38</v>
      </c>
      <c r="S34" s="77" t="n">
        <f aca="false">M34+P34</f>
        <v>1</v>
      </c>
      <c r="T34" s="85" t="n">
        <v>399</v>
      </c>
    </row>
    <row r="35" s="96" customFormat="true" ht="22.35" hidden="false" customHeight="false" outlineLevel="0" collapsed="false">
      <c r="A35" s="63" t="s">
        <v>67</v>
      </c>
      <c r="B35" s="81" t="s">
        <v>68</v>
      </c>
      <c r="C35" s="92" t="s">
        <v>53</v>
      </c>
      <c r="D35" s="93" t="n">
        <v>1865.6</v>
      </c>
      <c r="E35" s="66" t="n">
        <v>6.55043788517677</v>
      </c>
      <c r="F35" s="94" t="n">
        <f aca="false">E35*$E$102</f>
        <v>7.57885663314953</v>
      </c>
      <c r="G35" s="69" t="n">
        <f aca="false">TRUNC(F35*(1+$T$16),2)</f>
        <v>9.74</v>
      </c>
      <c r="H35" s="70"/>
      <c r="I35" s="69"/>
      <c r="J35" s="71" t="n">
        <f aca="false">H35+D35-I35</f>
        <v>1865.6</v>
      </c>
      <c r="K35" s="70" t="n">
        <v>1865.6</v>
      </c>
      <c r="L35" s="72" t="n">
        <f aca="false">K35*G35</f>
        <v>18170.944</v>
      </c>
      <c r="M35" s="73" t="n">
        <f aca="false">K35/J35</f>
        <v>1</v>
      </c>
      <c r="N35" s="93"/>
      <c r="O35" s="74" t="n">
        <f aca="false">N35*G35</f>
        <v>0</v>
      </c>
      <c r="P35" s="73" t="n">
        <f aca="false">N35/J35</f>
        <v>0</v>
      </c>
      <c r="Q35" s="75" t="n">
        <f aca="false">K35+N35</f>
        <v>1865.6</v>
      </c>
      <c r="R35" s="76" t="n">
        <f aca="false">ROUND(SUM(L35+O35),2)</f>
        <v>18170.94</v>
      </c>
      <c r="S35" s="77" t="n">
        <f aca="false">M35+P35</f>
        <v>1</v>
      </c>
      <c r="T35" s="85" t="n">
        <v>1865.6</v>
      </c>
      <c r="U35" s="1"/>
      <c r="V35" s="1"/>
      <c r="W35" s="1"/>
      <c r="X35" s="1"/>
      <c r="Y35" s="1"/>
      <c r="Z35" s="1"/>
      <c r="AA35" s="1"/>
      <c r="AB35" s="1"/>
    </row>
    <row r="36" customFormat="false" ht="22.35" hidden="false" customHeight="false" outlineLevel="0" collapsed="false">
      <c r="A36" s="63" t="s">
        <v>69</v>
      </c>
      <c r="B36" s="81" t="s">
        <v>70</v>
      </c>
      <c r="C36" s="92" t="s">
        <v>71</v>
      </c>
      <c r="D36" s="93" t="n">
        <v>4080</v>
      </c>
      <c r="E36" s="66" t="n">
        <v>15.8327927343497</v>
      </c>
      <c r="F36" s="94" t="n">
        <v>18.312</v>
      </c>
      <c r="G36" s="69" t="n">
        <f aca="false">TRUNC(F36*(1+$T$16),2)</f>
        <v>23.54</v>
      </c>
      <c r="H36" s="70"/>
      <c r="I36" s="69"/>
      <c r="J36" s="71" t="n">
        <f aca="false">H36+D36-I36</f>
        <v>4080</v>
      </c>
      <c r="K36" s="70" t="n">
        <v>4080</v>
      </c>
      <c r="L36" s="72" t="n">
        <f aca="false">K36*G36</f>
        <v>96043.2</v>
      </c>
      <c r="M36" s="73" t="n">
        <f aca="false">K36/J36</f>
        <v>1</v>
      </c>
      <c r="N36" s="93"/>
      <c r="O36" s="74" t="n">
        <f aca="false">N36*G36</f>
        <v>0</v>
      </c>
      <c r="P36" s="73" t="n">
        <f aca="false">N36/J36</f>
        <v>0</v>
      </c>
      <c r="Q36" s="75" t="n">
        <f aca="false">K36+N36</f>
        <v>4080</v>
      </c>
      <c r="R36" s="76" t="n">
        <f aca="false">ROUND(SUM(L36+O36),2)</f>
        <v>96043.2</v>
      </c>
      <c r="S36" s="77" t="n">
        <f aca="false">M36+P36</f>
        <v>1</v>
      </c>
      <c r="T36" s="78" t="n">
        <v>4080</v>
      </c>
      <c r="U36" s="83"/>
      <c r="V36" s="83"/>
      <c r="W36" s="83"/>
      <c r="X36" s="1"/>
      <c r="Y36" s="1"/>
      <c r="Z36" s="1"/>
      <c r="AA36" s="1"/>
      <c r="AB36" s="1"/>
    </row>
    <row r="37" s="83" customFormat="true" ht="22.35" hidden="false" customHeight="false" outlineLevel="0" collapsed="false">
      <c r="A37" s="63" t="s">
        <v>72</v>
      </c>
      <c r="B37" s="81" t="s">
        <v>73</v>
      </c>
      <c r="C37" s="92" t="s">
        <v>71</v>
      </c>
      <c r="D37" s="93" t="n">
        <v>1591.2</v>
      </c>
      <c r="E37" s="66" t="n">
        <v>11.7028867985728</v>
      </c>
      <c r="F37" s="94" t="n">
        <v>13.536</v>
      </c>
      <c r="G37" s="69" t="n">
        <f aca="false">TRUNC(F37*(1+$T$16),2)</f>
        <v>17.4</v>
      </c>
      <c r="H37" s="70"/>
      <c r="I37" s="69"/>
      <c r="J37" s="71" t="n">
        <f aca="false">H37+D37-I37</f>
        <v>1591.2</v>
      </c>
      <c r="K37" s="70" t="n">
        <v>1591.2</v>
      </c>
      <c r="L37" s="72" t="n">
        <f aca="false">K37*G37</f>
        <v>27686.88</v>
      </c>
      <c r="M37" s="73" t="n">
        <f aca="false">K37/J37</f>
        <v>1</v>
      </c>
      <c r="N37" s="93"/>
      <c r="O37" s="74" t="n">
        <f aca="false">N37*G37</f>
        <v>0</v>
      </c>
      <c r="P37" s="73" t="n">
        <f aca="false">N37/J37</f>
        <v>0</v>
      </c>
      <c r="Q37" s="75" t="n">
        <f aca="false">K37+N37</f>
        <v>1591.2</v>
      </c>
      <c r="R37" s="76" t="n">
        <f aca="false">ROUND(SUM(L37+O37),2)</f>
        <v>27686.88</v>
      </c>
      <c r="S37" s="77" t="n">
        <f aca="false">M37+P37</f>
        <v>1</v>
      </c>
      <c r="T37" s="78" t="n">
        <v>1591.2</v>
      </c>
      <c r="X37" s="1"/>
      <c r="Y37" s="1"/>
      <c r="Z37" s="1"/>
      <c r="AA37" s="1"/>
      <c r="AB37" s="1"/>
    </row>
    <row r="38" s="83" customFormat="true" ht="32.8" hidden="false" customHeight="false" outlineLevel="0" collapsed="false">
      <c r="A38" s="63" t="s">
        <v>74</v>
      </c>
      <c r="B38" s="98" t="s">
        <v>75</v>
      </c>
      <c r="C38" s="92" t="s">
        <v>76</v>
      </c>
      <c r="D38" s="93" t="n">
        <v>10197.888</v>
      </c>
      <c r="E38" s="66" t="n">
        <v>1.1232</v>
      </c>
      <c r="F38" s="94" t="n">
        <f aca="false">E38*$E$102</f>
        <v>1.2995424</v>
      </c>
      <c r="G38" s="69" t="n">
        <f aca="false">TRUNC(F38*(1+$T$16),2)</f>
        <v>1.67</v>
      </c>
      <c r="H38" s="70" t="n">
        <v>393.6</v>
      </c>
      <c r="I38" s="69"/>
      <c r="J38" s="71" t="n">
        <f aca="false">H38+D38-I38</f>
        <v>10591.488</v>
      </c>
      <c r="K38" s="70" t="n">
        <v>10591.48503</v>
      </c>
      <c r="L38" s="72" t="n">
        <f aca="false">K38*G38</f>
        <v>17687.7800001</v>
      </c>
      <c r="M38" s="73" t="n">
        <f aca="false">K38/J38</f>
        <v>0.999999719586143</v>
      </c>
      <c r="N38" s="93"/>
      <c r="O38" s="74" t="n">
        <f aca="false">N38*G38</f>
        <v>0</v>
      </c>
      <c r="P38" s="73" t="n">
        <f aca="false">N38/J38</f>
        <v>0</v>
      </c>
      <c r="Q38" s="75" t="n">
        <f aca="false">K38+N38</f>
        <v>10591.48503</v>
      </c>
      <c r="R38" s="76" t="n">
        <f aca="false">ROUND(SUM(L38+O38),2)</f>
        <v>17687.78</v>
      </c>
      <c r="S38" s="77" t="n">
        <f aca="false">M38+P38</f>
        <v>0.999999719586143</v>
      </c>
      <c r="T38" s="85" t="n">
        <v>10591.49</v>
      </c>
      <c r="U38" s="1"/>
      <c r="V38" s="1"/>
      <c r="W38" s="1"/>
      <c r="X38" s="1"/>
      <c r="Y38" s="1"/>
      <c r="Z38" s="1"/>
      <c r="AA38" s="1"/>
      <c r="AB38" s="1"/>
    </row>
    <row r="39" customFormat="false" ht="13.8" hidden="false" customHeight="false" outlineLevel="0" collapsed="false">
      <c r="A39" s="63" t="s">
        <v>77</v>
      </c>
      <c r="B39" s="81" t="s">
        <v>78</v>
      </c>
      <c r="C39" s="92" t="s">
        <v>60</v>
      </c>
      <c r="D39" s="93" t="n">
        <v>2550</v>
      </c>
      <c r="E39" s="66" t="n">
        <v>2.4326954265326</v>
      </c>
      <c r="F39" s="94" t="n">
        <v>2.8089</v>
      </c>
      <c r="G39" s="69" t="n">
        <f aca="false">TRUNC(F39*(1+$T$16),2)</f>
        <v>3.61</v>
      </c>
      <c r="H39" s="70"/>
      <c r="I39" s="69"/>
      <c r="J39" s="71" t="n">
        <f aca="false">H39+D39-I39</f>
        <v>2550</v>
      </c>
      <c r="K39" s="70" t="n">
        <v>2550</v>
      </c>
      <c r="L39" s="72" t="n">
        <f aca="false">K39*G39</f>
        <v>9205.5</v>
      </c>
      <c r="M39" s="73" t="n">
        <f aca="false">K39/J39</f>
        <v>1</v>
      </c>
      <c r="N39" s="93"/>
      <c r="O39" s="74" t="n">
        <f aca="false">N39*G39</f>
        <v>0</v>
      </c>
      <c r="P39" s="73" t="n">
        <f aca="false">N39/J39</f>
        <v>0</v>
      </c>
      <c r="Q39" s="75" t="n">
        <f aca="false">K39+N39</f>
        <v>2550</v>
      </c>
      <c r="R39" s="76" t="n">
        <f aca="false">ROUND(SUM(L39+O39),2)</f>
        <v>9205.5</v>
      </c>
      <c r="S39" s="77" t="n">
        <f aca="false">M39+P39</f>
        <v>1</v>
      </c>
      <c r="T39" s="78" t="n">
        <v>2550</v>
      </c>
      <c r="U39" s="83"/>
      <c r="V39" s="83"/>
      <c r="W39" s="83"/>
      <c r="X39" s="1"/>
      <c r="Y39" s="1"/>
      <c r="Z39" s="1"/>
      <c r="AA39" s="1"/>
      <c r="AB39" s="1"/>
    </row>
    <row r="40" customFormat="false" ht="13.8" hidden="false" customHeight="false" outlineLevel="0" collapsed="false">
      <c r="A40" s="63" t="s">
        <v>79</v>
      </c>
      <c r="B40" s="81" t="s">
        <v>80</v>
      </c>
      <c r="C40" s="92" t="s">
        <v>60</v>
      </c>
      <c r="D40" s="93" t="n">
        <v>2550</v>
      </c>
      <c r="E40" s="66" t="n">
        <v>4.12747324035031</v>
      </c>
      <c r="F40" s="94" t="n">
        <v>4.769</v>
      </c>
      <c r="G40" s="69" t="n">
        <f aca="false">TRUNC(F40*(1+$T$16),2)</f>
        <v>6.13</v>
      </c>
      <c r="H40" s="70"/>
      <c r="I40" s="69"/>
      <c r="J40" s="71" t="n">
        <f aca="false">H40+D40-I40</f>
        <v>2550</v>
      </c>
      <c r="K40" s="70" t="n">
        <v>2550</v>
      </c>
      <c r="L40" s="72" t="n">
        <f aca="false">K40*G40</f>
        <v>15631.5</v>
      </c>
      <c r="M40" s="73" t="n">
        <f aca="false">K40/J40</f>
        <v>1</v>
      </c>
      <c r="N40" s="93"/>
      <c r="O40" s="74" t="n">
        <f aca="false">N40*G40</f>
        <v>0</v>
      </c>
      <c r="P40" s="73" t="n">
        <f aca="false">N40/J40</f>
        <v>0</v>
      </c>
      <c r="Q40" s="75" t="n">
        <f aca="false">K40+N40</f>
        <v>2550</v>
      </c>
      <c r="R40" s="76" t="n">
        <f aca="false">ROUND(SUM(L40+O40),2)</f>
        <v>15631.5</v>
      </c>
      <c r="S40" s="77" t="n">
        <f aca="false">M40+P40</f>
        <v>1</v>
      </c>
      <c r="T40" s="78" t="n">
        <v>2550</v>
      </c>
      <c r="U40" s="83"/>
      <c r="V40" s="83"/>
      <c r="W40" s="83"/>
      <c r="X40" s="1"/>
      <c r="Y40" s="1"/>
      <c r="Z40" s="1"/>
      <c r="AA40" s="1"/>
      <c r="AB40" s="1"/>
    </row>
    <row r="41" s="83" customFormat="true" ht="13.8" hidden="false" customHeight="false" outlineLevel="0" collapsed="false">
      <c r="A41" s="87" t="s">
        <v>81</v>
      </c>
      <c r="B41" s="88" t="s">
        <v>82</v>
      </c>
      <c r="C41" s="54"/>
      <c r="D41" s="55"/>
      <c r="E41" s="55"/>
      <c r="F41" s="55"/>
      <c r="G41" s="56"/>
      <c r="H41" s="89"/>
      <c r="I41" s="56"/>
      <c r="J41" s="90"/>
      <c r="K41" s="60"/>
      <c r="L41" s="61"/>
      <c r="M41" s="62"/>
      <c r="N41" s="55"/>
      <c r="O41" s="91"/>
      <c r="P41" s="62"/>
      <c r="Q41" s="61"/>
      <c r="R41" s="61"/>
      <c r="S41" s="62"/>
      <c r="T41" s="85"/>
      <c r="U41" s="1"/>
      <c r="V41" s="1"/>
      <c r="W41" s="1"/>
      <c r="X41" s="1"/>
      <c r="Y41" s="1"/>
      <c r="Z41" s="1"/>
      <c r="AA41" s="1"/>
      <c r="AB41" s="1"/>
    </row>
    <row r="42" s="83" customFormat="true" ht="22.35" hidden="false" customHeight="false" outlineLevel="0" collapsed="false">
      <c r="A42" s="99" t="s">
        <v>83</v>
      </c>
      <c r="B42" s="98" t="s">
        <v>84</v>
      </c>
      <c r="C42" s="92" t="s">
        <v>48</v>
      </c>
      <c r="D42" s="68" t="n">
        <v>20</v>
      </c>
      <c r="E42" s="66" t="n">
        <v>17.6180668180344</v>
      </c>
      <c r="F42" s="94" t="n">
        <f aca="false">E42*$E$103</f>
        <v>19.996505838469</v>
      </c>
      <c r="G42" s="100" t="n">
        <f aca="false">TRUNC(F42*(1+$T$16),2)</f>
        <v>25.7</v>
      </c>
      <c r="H42" s="70"/>
      <c r="I42" s="100"/>
      <c r="J42" s="71" t="n">
        <f aca="false">H42+D42-I42</f>
        <v>20</v>
      </c>
      <c r="K42" s="70" t="n">
        <v>0</v>
      </c>
      <c r="L42" s="72" t="n">
        <f aca="false">K42*G42</f>
        <v>0</v>
      </c>
      <c r="M42" s="73" t="n">
        <f aca="false">K42/J42</f>
        <v>0</v>
      </c>
      <c r="N42" s="68" t="n">
        <v>20</v>
      </c>
      <c r="O42" s="74" t="n">
        <f aca="false">N42*G42</f>
        <v>514</v>
      </c>
      <c r="P42" s="73" t="n">
        <f aca="false">N42/J42</f>
        <v>1</v>
      </c>
      <c r="Q42" s="101" t="n">
        <f aca="false">K42+N42</f>
        <v>20</v>
      </c>
      <c r="R42" s="76" t="n">
        <f aca="false">ROUND(SUM(L42+O42),2)</f>
        <v>514</v>
      </c>
      <c r="S42" s="102" t="n">
        <f aca="false">M42+P42</f>
        <v>1</v>
      </c>
      <c r="T42" s="85" t="s">
        <v>85</v>
      </c>
      <c r="U42" s="1"/>
      <c r="V42" s="1"/>
      <c r="W42" s="1"/>
      <c r="X42" s="1"/>
      <c r="Y42" s="1"/>
      <c r="Z42" s="1"/>
      <c r="AA42" s="1"/>
      <c r="AB42" s="1"/>
    </row>
    <row r="43" customFormat="false" ht="22.35" hidden="false" customHeight="false" outlineLevel="0" collapsed="false">
      <c r="A43" s="99" t="s">
        <v>86</v>
      </c>
      <c r="B43" s="103" t="s">
        <v>87</v>
      </c>
      <c r="C43" s="104" t="s">
        <v>48</v>
      </c>
      <c r="D43" s="105" t="n">
        <v>30</v>
      </c>
      <c r="E43" s="106" t="n">
        <v>130.6242</v>
      </c>
      <c r="F43" s="107" t="n">
        <f aca="false">E43*$E$103</f>
        <v>148.258467</v>
      </c>
      <c r="G43" s="100" t="n">
        <f aca="false">TRUNC(E43*(1+$T$16),2)</f>
        <v>167.91</v>
      </c>
      <c r="H43" s="70"/>
      <c r="I43" s="100"/>
      <c r="J43" s="71" t="n">
        <f aca="false">H43+D43-I43</f>
        <v>30</v>
      </c>
      <c r="K43" s="70" t="n">
        <v>0</v>
      </c>
      <c r="L43" s="72" t="n">
        <f aca="false">K43*G43</f>
        <v>0</v>
      </c>
      <c r="M43" s="73" t="n">
        <f aca="false">K43/J43</f>
        <v>0</v>
      </c>
      <c r="N43" s="105" t="n">
        <v>30</v>
      </c>
      <c r="O43" s="74" t="n">
        <f aca="false">N43*G43</f>
        <v>5037.3</v>
      </c>
      <c r="P43" s="73" t="n">
        <f aca="false">N43/J43</f>
        <v>1</v>
      </c>
      <c r="Q43" s="101" t="n">
        <f aca="false">K43+N43</f>
        <v>30</v>
      </c>
      <c r="R43" s="76" t="n">
        <f aca="false">ROUND(SUM(L43+O43),2)</f>
        <v>5037.3</v>
      </c>
      <c r="S43" s="102" t="n">
        <f aca="false">M43+P43</f>
        <v>1</v>
      </c>
      <c r="T43" s="78" t="s">
        <v>85</v>
      </c>
      <c r="U43" s="83"/>
      <c r="V43" s="83"/>
      <c r="W43" s="83"/>
      <c r="X43" s="1"/>
      <c r="Y43" s="1"/>
      <c r="Z43" s="1"/>
      <c r="AA43" s="1"/>
      <c r="AB43" s="1"/>
    </row>
    <row r="44" s="83" customFormat="true" ht="13.8" hidden="false" customHeight="false" outlineLevel="0" collapsed="false">
      <c r="A44" s="63" t="s">
        <v>88</v>
      </c>
      <c r="B44" s="108" t="s">
        <v>89</v>
      </c>
      <c r="C44" s="92" t="s">
        <v>48</v>
      </c>
      <c r="D44" s="68" t="n">
        <v>170</v>
      </c>
      <c r="E44" s="66" t="n">
        <v>232.086441777489</v>
      </c>
      <c r="F44" s="94" t="n">
        <f aca="false">338.61/((1+$T$16))</f>
        <v>263.40723453909</v>
      </c>
      <c r="G44" s="69" t="n">
        <f aca="false">TRUNC(F44*(1+$T$16),2)</f>
        <v>338.61</v>
      </c>
      <c r="H44" s="70"/>
      <c r="I44" s="69"/>
      <c r="J44" s="71" t="n">
        <f aca="false">H44+D44-I44</f>
        <v>170</v>
      </c>
      <c r="K44" s="70" t="n">
        <v>28</v>
      </c>
      <c r="L44" s="72" t="n">
        <f aca="false">K44*G44</f>
        <v>9481.08</v>
      </c>
      <c r="M44" s="73" t="n">
        <f aca="false">K44/J44</f>
        <v>0.164705882352941</v>
      </c>
      <c r="N44" s="68"/>
      <c r="O44" s="74" t="n">
        <f aca="false">N44*G44</f>
        <v>0</v>
      </c>
      <c r="P44" s="73" t="n">
        <f aca="false">N44/J44</f>
        <v>0</v>
      </c>
      <c r="Q44" s="75" t="n">
        <f aca="false">K44+N44</f>
        <v>28</v>
      </c>
      <c r="R44" s="76" t="n">
        <f aca="false">ROUND(SUM(L44+O44),2)</f>
        <v>9481.08</v>
      </c>
      <c r="S44" s="77" t="n">
        <f aca="false">M44+P44</f>
        <v>0.164705882352941</v>
      </c>
      <c r="T44" s="78" t="n">
        <v>28</v>
      </c>
      <c r="V44" s="84" t="n">
        <f aca="false">2767.48/((1+$T$16))</f>
        <v>2152.84325165305</v>
      </c>
      <c r="X44" s="1"/>
      <c r="Y44" s="1"/>
      <c r="Z44" s="1"/>
      <c r="AA44" s="1"/>
      <c r="AB44" s="1"/>
    </row>
    <row r="45" s="83" customFormat="true" ht="22.35" hidden="false" customHeight="false" outlineLevel="0" collapsed="false">
      <c r="A45" s="63" t="s">
        <v>90</v>
      </c>
      <c r="B45" s="108" t="s">
        <v>91</v>
      </c>
      <c r="C45" s="92" t="s">
        <v>92</v>
      </c>
      <c r="D45" s="68" t="n">
        <v>2</v>
      </c>
      <c r="E45" s="66" t="n">
        <v>1896.80700616283</v>
      </c>
      <c r="F45" s="94" t="n">
        <f aca="false">2767.48/((1+$T$16))</f>
        <v>2152.84325165305</v>
      </c>
      <c r="G45" s="69" t="n">
        <f aca="false">TRUNC(F45*(1+$T$16),2)</f>
        <v>2767.48</v>
      </c>
      <c r="H45" s="70"/>
      <c r="I45" s="69"/>
      <c r="J45" s="71" t="n">
        <f aca="false">H45+D45-I45</f>
        <v>2</v>
      </c>
      <c r="K45" s="70" t="n">
        <v>0</v>
      </c>
      <c r="L45" s="72" t="n">
        <f aca="false">K45*G45</f>
        <v>0</v>
      </c>
      <c r="M45" s="73" t="n">
        <f aca="false">K45/J45</f>
        <v>0</v>
      </c>
      <c r="N45" s="68" t="n">
        <v>2</v>
      </c>
      <c r="O45" s="74" t="n">
        <f aca="false">N45*G45</f>
        <v>5534.96</v>
      </c>
      <c r="P45" s="73" t="n">
        <f aca="false">N45/J45</f>
        <v>1</v>
      </c>
      <c r="Q45" s="75" t="n">
        <f aca="false">K45+N45</f>
        <v>2</v>
      </c>
      <c r="R45" s="76" t="n">
        <f aca="false">ROUND(SUM(L45+O45),2)</f>
        <v>5534.96</v>
      </c>
      <c r="S45" s="77" t="n">
        <f aca="false">M45+P45</f>
        <v>1</v>
      </c>
      <c r="T45" s="78" t="s">
        <v>85</v>
      </c>
      <c r="X45" s="1"/>
      <c r="Y45" s="1"/>
      <c r="Z45" s="1"/>
      <c r="AA45" s="1"/>
      <c r="AB45" s="1"/>
    </row>
    <row r="46" customFormat="false" ht="22.35" hidden="false" customHeight="false" outlineLevel="0" collapsed="false">
      <c r="A46" s="99" t="s">
        <v>93</v>
      </c>
      <c r="B46" s="108" t="s">
        <v>94</v>
      </c>
      <c r="C46" s="92" t="s">
        <v>92</v>
      </c>
      <c r="D46" s="68" t="n">
        <v>2</v>
      </c>
      <c r="E46" s="66" t="n">
        <v>182.069250729809</v>
      </c>
      <c r="F46" s="94" t="n">
        <f aca="false">E46*$E$103</f>
        <v>206.648599578333</v>
      </c>
      <c r="G46" s="100" t="n">
        <f aca="false">TRUNC(F46*(1+$T$16),2)</f>
        <v>265.64</v>
      </c>
      <c r="H46" s="70"/>
      <c r="I46" s="100"/>
      <c r="J46" s="71" t="n">
        <f aca="false">H46+D46-I46</f>
        <v>2</v>
      </c>
      <c r="K46" s="70" t="n">
        <v>0</v>
      </c>
      <c r="L46" s="72" t="n">
        <f aca="false">K46*G46</f>
        <v>0</v>
      </c>
      <c r="M46" s="73" t="n">
        <f aca="false">K46/J46</f>
        <v>0</v>
      </c>
      <c r="N46" s="68" t="n">
        <v>2</v>
      </c>
      <c r="O46" s="74" t="n">
        <f aca="false">N46*G46</f>
        <v>531.28</v>
      </c>
      <c r="P46" s="73" t="n">
        <f aca="false">N46/J46</f>
        <v>1</v>
      </c>
      <c r="Q46" s="101" t="n">
        <f aca="false">K46+N46</f>
        <v>2</v>
      </c>
      <c r="R46" s="76" t="n">
        <f aca="false">ROUND(SUM(L46+O46),2)</f>
        <v>531.28</v>
      </c>
      <c r="S46" s="102" t="n">
        <f aca="false">M46+P46</f>
        <v>1</v>
      </c>
      <c r="T46" s="85" t="s">
        <v>85</v>
      </c>
    </row>
    <row r="47" customFormat="false" ht="13.8" hidden="false" customHeight="false" outlineLevel="0" collapsed="false">
      <c r="A47" s="99" t="s">
        <v>95</v>
      </c>
      <c r="B47" s="108" t="s">
        <v>96</v>
      </c>
      <c r="C47" s="92" t="s">
        <v>48</v>
      </c>
      <c r="D47" s="68" t="n">
        <v>20</v>
      </c>
      <c r="E47" s="66" t="n">
        <v>88.0664936749919</v>
      </c>
      <c r="F47" s="94" t="n">
        <f aca="false">E47*$E$103</f>
        <v>99.9554703211158</v>
      </c>
      <c r="G47" s="100" t="n">
        <f aca="false">TRUNC(F47*(1+$T$16),2)</f>
        <v>128.49</v>
      </c>
      <c r="H47" s="70"/>
      <c r="I47" s="100"/>
      <c r="J47" s="71" t="n">
        <f aca="false">H47+D47-I47</f>
        <v>20</v>
      </c>
      <c r="K47" s="70" t="n">
        <v>0</v>
      </c>
      <c r="L47" s="72" t="n">
        <f aca="false">K47*G47</f>
        <v>0</v>
      </c>
      <c r="M47" s="73" t="n">
        <f aca="false">K47/J47</f>
        <v>0</v>
      </c>
      <c r="N47" s="68" t="n">
        <v>20</v>
      </c>
      <c r="O47" s="74" t="n">
        <f aca="false">N47*G47</f>
        <v>2569.8</v>
      </c>
      <c r="P47" s="73" t="n">
        <f aca="false">N47/J47</f>
        <v>1</v>
      </c>
      <c r="Q47" s="101" t="n">
        <f aca="false">K47+N47</f>
        <v>20</v>
      </c>
      <c r="R47" s="76" t="n">
        <f aca="false">ROUND(SUM(L47+O47),2)</f>
        <v>2569.8</v>
      </c>
      <c r="S47" s="102" t="n">
        <f aca="false">M47+P47</f>
        <v>1</v>
      </c>
      <c r="T47" s="85" t="s">
        <v>85</v>
      </c>
    </row>
    <row r="48" s="83" customFormat="true" ht="32.8" hidden="false" customHeight="false" outlineLevel="0" collapsed="false">
      <c r="A48" s="99" t="s">
        <v>97</v>
      </c>
      <c r="B48" s="108" t="s">
        <v>98</v>
      </c>
      <c r="C48" s="92" t="s">
        <v>53</v>
      </c>
      <c r="D48" s="68" t="n">
        <v>340</v>
      </c>
      <c r="E48" s="66" t="n">
        <v>26.3992864093416</v>
      </c>
      <c r="F48" s="94" t="n">
        <f aca="false">E48*$E$103</f>
        <v>29.9631900746027</v>
      </c>
      <c r="G48" s="100" t="n">
        <f aca="false">TRUNC(F48*(1+$T$16),2)</f>
        <v>38.51</v>
      </c>
      <c r="H48" s="70"/>
      <c r="I48" s="100"/>
      <c r="J48" s="71" t="n">
        <f aca="false">H48+D48-I48</f>
        <v>340</v>
      </c>
      <c r="K48" s="70" t="n">
        <v>340</v>
      </c>
      <c r="L48" s="72" t="n">
        <f aca="false">K48*G48</f>
        <v>13093.4</v>
      </c>
      <c r="M48" s="73" t="n">
        <f aca="false">K48/J48</f>
        <v>1</v>
      </c>
      <c r="N48" s="93"/>
      <c r="O48" s="74" t="n">
        <f aca="false">N48*G48</f>
        <v>0</v>
      </c>
      <c r="P48" s="73" t="n">
        <f aca="false">N48/J48</f>
        <v>0</v>
      </c>
      <c r="Q48" s="101" t="n">
        <f aca="false">K48+N48</f>
        <v>340</v>
      </c>
      <c r="R48" s="76" t="n">
        <f aca="false">ROUND(SUM(L48+O48),2)</f>
        <v>13093.4</v>
      </c>
      <c r="S48" s="102" t="n">
        <f aca="false">M48+P48</f>
        <v>1</v>
      </c>
      <c r="T48" s="85" t="n">
        <v>340</v>
      </c>
      <c r="U48" s="1"/>
      <c r="V48" s="1"/>
      <c r="W48" s="1"/>
      <c r="X48" s="1"/>
      <c r="Y48" s="1"/>
      <c r="Z48" s="1"/>
      <c r="AA48" s="1"/>
      <c r="AB48" s="1"/>
    </row>
    <row r="49" s="83" customFormat="true" ht="22.35" hidden="false" customHeight="false" outlineLevel="0" collapsed="false">
      <c r="A49" s="99" t="s">
        <v>99</v>
      </c>
      <c r="B49" s="108" t="s">
        <v>100</v>
      </c>
      <c r="C49" s="92" t="s">
        <v>60</v>
      </c>
      <c r="D49" s="68" t="n">
        <v>51</v>
      </c>
      <c r="E49" s="66" t="n">
        <v>84.3632825170289</v>
      </c>
      <c r="F49" s="94" t="n">
        <f aca="false">E49*$E$103</f>
        <v>95.7523256568278</v>
      </c>
      <c r="G49" s="100" t="n">
        <f aca="false">TRUNC(F49*(1+$T$16),2)</f>
        <v>123.08</v>
      </c>
      <c r="H49" s="70"/>
      <c r="I49" s="100"/>
      <c r="J49" s="71" t="n">
        <f aca="false">H49+D49-I49</f>
        <v>51</v>
      </c>
      <c r="K49" s="70" t="n">
        <v>51</v>
      </c>
      <c r="L49" s="72" t="n">
        <f aca="false">K49*G49</f>
        <v>6277.08</v>
      </c>
      <c r="M49" s="73" t="n">
        <f aca="false">K49/J49</f>
        <v>1</v>
      </c>
      <c r="N49" s="93"/>
      <c r="O49" s="74" t="n">
        <f aca="false">N49*G49</f>
        <v>0</v>
      </c>
      <c r="P49" s="73" t="n">
        <f aca="false">N49/J49</f>
        <v>0</v>
      </c>
      <c r="Q49" s="101" t="n">
        <f aca="false">K49+N49</f>
        <v>51</v>
      </c>
      <c r="R49" s="76" t="n">
        <f aca="false">ROUND(SUM(L49+O49),2)</f>
        <v>6277.08</v>
      </c>
      <c r="S49" s="102" t="n">
        <f aca="false">M49+P49</f>
        <v>1</v>
      </c>
      <c r="T49" s="85" t="n">
        <v>51</v>
      </c>
      <c r="U49" s="1"/>
      <c r="V49" s="1"/>
      <c r="W49" s="1"/>
      <c r="X49" s="1"/>
      <c r="Y49" s="1"/>
      <c r="Z49" s="1"/>
      <c r="AA49" s="1"/>
      <c r="AB49" s="1"/>
    </row>
    <row r="50" s="83" customFormat="true" ht="13.8" hidden="false" customHeight="false" outlineLevel="0" collapsed="false">
      <c r="A50" s="99" t="s">
        <v>101</v>
      </c>
      <c r="B50" s="108" t="s">
        <v>102</v>
      </c>
      <c r="C50" s="92" t="s">
        <v>48</v>
      </c>
      <c r="D50" s="68" t="n">
        <v>95</v>
      </c>
      <c r="E50" s="66" t="n">
        <v>47.2993837171586</v>
      </c>
      <c r="F50" s="94" t="n">
        <f aca="false">E50*$E$103</f>
        <v>53.684800518975</v>
      </c>
      <c r="G50" s="100" t="n">
        <f aca="false">TRUNC(F50*(1+$T$16),2)</f>
        <v>69.01</v>
      </c>
      <c r="H50" s="70" t="n">
        <v>14</v>
      </c>
      <c r="I50" s="100"/>
      <c r="J50" s="71" t="n">
        <f aca="false">H50+D50-I50</f>
        <v>109</v>
      </c>
      <c r="K50" s="70" t="n">
        <v>0</v>
      </c>
      <c r="L50" s="72" t="n">
        <f aca="false">K50*G50</f>
        <v>0</v>
      </c>
      <c r="M50" s="73" t="n">
        <f aca="false">K50/J50</f>
        <v>0</v>
      </c>
      <c r="N50" s="68"/>
      <c r="O50" s="74" t="n">
        <f aca="false">N50*G50</f>
        <v>0</v>
      </c>
      <c r="P50" s="73" t="n">
        <f aca="false">N50/J50</f>
        <v>0</v>
      </c>
      <c r="Q50" s="101" t="n">
        <f aca="false">K50+N50</f>
        <v>0</v>
      </c>
      <c r="R50" s="76" t="n">
        <f aca="false">ROUND(SUM(L50+O50),2)</f>
        <v>0</v>
      </c>
      <c r="S50" s="102" t="n">
        <f aca="false">M50+P50</f>
        <v>0</v>
      </c>
      <c r="T50" s="85" t="s">
        <v>85</v>
      </c>
      <c r="U50" s="1"/>
      <c r="V50" s="1"/>
      <c r="W50" s="1"/>
      <c r="X50" s="1"/>
      <c r="Y50" s="1"/>
      <c r="Z50" s="1"/>
      <c r="AA50" s="1"/>
      <c r="AB50" s="1"/>
    </row>
    <row r="51" customFormat="false" ht="13.8" hidden="false" customHeight="false" outlineLevel="0" collapsed="false">
      <c r="A51" s="99" t="s">
        <v>103</v>
      </c>
      <c r="B51" s="108" t="s">
        <v>104</v>
      </c>
      <c r="C51" s="92" t="s">
        <v>53</v>
      </c>
      <c r="D51" s="68" t="n">
        <v>142.5</v>
      </c>
      <c r="E51" s="66" t="n">
        <v>40.5207590009731</v>
      </c>
      <c r="F51" s="94" t="n">
        <f aca="false">E51*$E$103</f>
        <v>45.9910614661045</v>
      </c>
      <c r="G51" s="100" t="n">
        <f aca="false">TRUNC(F51*(1+$T$16),2)</f>
        <v>59.12</v>
      </c>
      <c r="H51" s="70" t="n">
        <v>21</v>
      </c>
      <c r="I51" s="100"/>
      <c r="J51" s="71" t="n">
        <f aca="false">H51+D51-I51</f>
        <v>163.5</v>
      </c>
      <c r="K51" s="70" t="n">
        <v>0</v>
      </c>
      <c r="L51" s="72" t="n">
        <f aca="false">K51*G51</f>
        <v>0</v>
      </c>
      <c r="M51" s="73" t="n">
        <f aca="false">K51/J51</f>
        <v>0</v>
      </c>
      <c r="N51" s="68"/>
      <c r="O51" s="74" t="n">
        <f aca="false">N51*G51</f>
        <v>0</v>
      </c>
      <c r="P51" s="73" t="n">
        <f aca="false">N51/J51</f>
        <v>0</v>
      </c>
      <c r="Q51" s="101" t="n">
        <f aca="false">K51+N51</f>
        <v>0</v>
      </c>
      <c r="R51" s="76" t="n">
        <f aca="false">ROUND(SUM(L51+O51),2)</f>
        <v>0</v>
      </c>
      <c r="S51" s="102" t="n">
        <f aca="false">M51+P51</f>
        <v>0</v>
      </c>
      <c r="T51" s="85" t="s">
        <v>85</v>
      </c>
    </row>
    <row r="52" customFormat="false" ht="22.35" hidden="false" customHeight="false" outlineLevel="0" collapsed="false">
      <c r="A52" s="99" t="s">
        <v>105</v>
      </c>
      <c r="B52" s="108" t="s">
        <v>106</v>
      </c>
      <c r="C52" s="92" t="s">
        <v>53</v>
      </c>
      <c r="D52" s="93" t="n">
        <v>185.25</v>
      </c>
      <c r="E52" s="66" t="n">
        <v>28.4575089198832</v>
      </c>
      <c r="F52" s="94" t="n">
        <f aca="false">E52*$E$103</f>
        <v>32.2992726240675</v>
      </c>
      <c r="G52" s="100" t="n">
        <f aca="false">TRUNC(F52*(1+$T$16),2)</f>
        <v>41.52</v>
      </c>
      <c r="H52" s="70" t="n">
        <v>27.3</v>
      </c>
      <c r="I52" s="100"/>
      <c r="J52" s="71" t="n">
        <f aca="false">H52+D52-I52</f>
        <v>212.55</v>
      </c>
      <c r="K52" s="70" t="n">
        <v>0</v>
      </c>
      <c r="L52" s="72" t="n">
        <f aca="false">K52*G52</f>
        <v>0</v>
      </c>
      <c r="M52" s="73" t="n">
        <f aca="false">K52/J52</f>
        <v>0</v>
      </c>
      <c r="N52" s="93"/>
      <c r="O52" s="74" t="n">
        <f aca="false">N52*G52</f>
        <v>0</v>
      </c>
      <c r="P52" s="73" t="n">
        <f aca="false">N52/J52</f>
        <v>0</v>
      </c>
      <c r="Q52" s="101" t="n">
        <f aca="false">K52+N52</f>
        <v>0</v>
      </c>
      <c r="R52" s="76" t="n">
        <f aca="false">ROUND(SUM(L52+O52),2)</f>
        <v>0</v>
      </c>
      <c r="S52" s="102" t="n">
        <f aca="false">M52+P52</f>
        <v>0</v>
      </c>
      <c r="T52" s="85" t="s">
        <v>85</v>
      </c>
    </row>
    <row r="53" customFormat="false" ht="22.35" hidden="false" customHeight="false" outlineLevel="0" collapsed="false">
      <c r="A53" s="99" t="s">
        <v>107</v>
      </c>
      <c r="B53" s="108" t="s">
        <v>108</v>
      </c>
      <c r="C53" s="92" t="s">
        <v>53</v>
      </c>
      <c r="D53" s="93" t="n">
        <v>559.68</v>
      </c>
      <c r="E53" s="66" t="n">
        <v>3.63963671748297</v>
      </c>
      <c r="F53" s="94" t="n">
        <f aca="false">E53*$E$103</f>
        <v>4.13098767434317</v>
      </c>
      <c r="G53" s="100" t="n">
        <f aca="false">TRUNC(F53*(1+$T$16),2)</f>
        <v>5.31</v>
      </c>
      <c r="H53" s="70"/>
      <c r="I53" s="100"/>
      <c r="J53" s="71" t="n">
        <f aca="false">H53+D53-I53</f>
        <v>559.68</v>
      </c>
      <c r="K53" s="109" t="n">
        <v>559.68</v>
      </c>
      <c r="L53" s="72" t="n">
        <f aca="false">K53*G53</f>
        <v>2971.9008</v>
      </c>
      <c r="M53" s="73" t="n">
        <f aca="false">K53/J53</f>
        <v>1</v>
      </c>
      <c r="N53" s="93"/>
      <c r="O53" s="74" t="n">
        <f aca="false">N53*G53</f>
        <v>0</v>
      </c>
      <c r="P53" s="73" t="n">
        <f aca="false">N53/J53</f>
        <v>0</v>
      </c>
      <c r="Q53" s="101" t="n">
        <f aca="false">K53+N53</f>
        <v>559.68</v>
      </c>
      <c r="R53" s="76" t="n">
        <f aca="false">ROUND(SUM(L53+O53),2)</f>
        <v>2971.9</v>
      </c>
      <c r="S53" s="102" t="n">
        <f aca="false">M53+P53</f>
        <v>1</v>
      </c>
      <c r="T53" s="85" t="n">
        <v>559.68</v>
      </c>
    </row>
    <row r="54" customFormat="false" ht="13.8" hidden="false" customHeight="false" outlineLevel="0" collapsed="false">
      <c r="A54" s="87" t="s">
        <v>109</v>
      </c>
      <c r="B54" s="88" t="s">
        <v>110</v>
      </c>
      <c r="C54" s="54"/>
      <c r="D54" s="55"/>
      <c r="E54" s="55"/>
      <c r="F54" s="55"/>
      <c r="G54" s="56"/>
      <c r="H54" s="89"/>
      <c r="I54" s="56"/>
      <c r="J54" s="90"/>
      <c r="K54" s="60"/>
      <c r="L54" s="61"/>
      <c r="M54" s="62"/>
      <c r="N54" s="55"/>
      <c r="O54" s="91"/>
      <c r="P54" s="62"/>
      <c r="Q54" s="61"/>
      <c r="R54" s="61"/>
      <c r="S54" s="62"/>
      <c r="T54" s="85"/>
    </row>
    <row r="55" customFormat="false" ht="13.8" hidden="false" customHeight="false" outlineLevel="0" collapsed="false">
      <c r="A55" s="63" t="s">
        <v>111</v>
      </c>
      <c r="B55" s="110" t="s">
        <v>112</v>
      </c>
      <c r="C55" s="92" t="s">
        <v>53</v>
      </c>
      <c r="D55" s="93" t="n">
        <v>8</v>
      </c>
      <c r="E55" s="66" t="n">
        <v>540.021894258839</v>
      </c>
      <c r="F55" s="94" t="n">
        <f aca="false">806.64/((1+$T$16))</f>
        <v>627.491248541424</v>
      </c>
      <c r="G55" s="69" t="n">
        <f aca="false">TRUNC(F55*(1+$T$16),2)</f>
        <v>806.64</v>
      </c>
      <c r="H55" s="70"/>
      <c r="I55" s="69"/>
      <c r="J55" s="71" t="n">
        <f aca="false">H55+D55-I55</f>
        <v>8</v>
      </c>
      <c r="K55" s="70" t="n">
        <v>8</v>
      </c>
      <c r="L55" s="72" t="n">
        <f aca="false">K55*G55</f>
        <v>6453.12</v>
      </c>
      <c r="M55" s="73" t="n">
        <f aca="false">K55/J55</f>
        <v>1</v>
      </c>
      <c r="N55" s="93"/>
      <c r="O55" s="74" t="n">
        <f aca="false">N55*G55</f>
        <v>0</v>
      </c>
      <c r="P55" s="73" t="n">
        <f aca="false">N55/J55</f>
        <v>0</v>
      </c>
      <c r="Q55" s="75" t="n">
        <f aca="false">K55+N55</f>
        <v>8</v>
      </c>
      <c r="R55" s="76" t="n">
        <f aca="false">ROUND(SUM(L55+O55),2)</f>
        <v>6453.12</v>
      </c>
      <c r="S55" s="77" t="n">
        <f aca="false">M55+P55</f>
        <v>1</v>
      </c>
      <c r="T55" s="78" t="n">
        <v>8</v>
      </c>
      <c r="U55" s="84" t="n">
        <f aca="false">559.82/((1+$T$16))</f>
        <v>435.488136911708</v>
      </c>
      <c r="V55" s="83"/>
      <c r="W55" s="83"/>
      <c r="X55" s="1"/>
      <c r="Y55" s="1"/>
      <c r="Z55" s="1"/>
      <c r="AA55" s="1"/>
      <c r="AB55" s="1"/>
    </row>
    <row r="56" customFormat="false" ht="32.8" hidden="false" customHeight="false" outlineLevel="0" collapsed="false">
      <c r="A56" s="99" t="s">
        <v>113</v>
      </c>
      <c r="B56" s="111" t="s">
        <v>114</v>
      </c>
      <c r="C56" s="92" t="s">
        <v>53</v>
      </c>
      <c r="D56" s="93" t="n">
        <v>340</v>
      </c>
      <c r="E56" s="66" t="n">
        <v>36.9137204022056</v>
      </c>
      <c r="F56" s="94" t="n">
        <f aca="false">E56*$E$106</f>
        <v>42.893743107363</v>
      </c>
      <c r="G56" s="69" t="n">
        <f aca="false">TRUNC(F56*(1+$T$16),2)</f>
        <v>55.13</v>
      </c>
      <c r="H56" s="70"/>
      <c r="I56" s="69"/>
      <c r="J56" s="71" t="n">
        <f aca="false">H56+D56-I56</f>
        <v>340</v>
      </c>
      <c r="K56" s="109" t="n">
        <v>340</v>
      </c>
      <c r="L56" s="72" t="n">
        <f aca="false">K56*G56</f>
        <v>18744.2</v>
      </c>
      <c r="M56" s="73" t="n">
        <f aca="false">K56/J56</f>
        <v>1</v>
      </c>
      <c r="N56" s="93"/>
      <c r="O56" s="74" t="n">
        <f aca="false">N56*G56</f>
        <v>0</v>
      </c>
      <c r="P56" s="73" t="n">
        <f aca="false">N56/J56</f>
        <v>0</v>
      </c>
      <c r="Q56" s="101" t="n">
        <f aca="false">K56+N56</f>
        <v>340</v>
      </c>
      <c r="R56" s="76" t="n">
        <f aca="false">ROUND(SUM(L56+O56),2)</f>
        <v>18744.2</v>
      </c>
      <c r="S56" s="102" t="n">
        <f aca="false">M56+P56</f>
        <v>1</v>
      </c>
      <c r="T56" s="85" t="n">
        <v>340</v>
      </c>
    </row>
    <row r="57" customFormat="false" ht="22.35" hidden="false" customHeight="false" outlineLevel="0" collapsed="false">
      <c r="A57" s="99" t="s">
        <v>115</v>
      </c>
      <c r="B57" s="111" t="s">
        <v>116</v>
      </c>
      <c r="C57" s="92" t="s">
        <v>48</v>
      </c>
      <c r="D57" s="93" t="n">
        <v>170</v>
      </c>
      <c r="E57" s="66" t="n">
        <v>15.9171261758028</v>
      </c>
      <c r="F57" s="94" t="n">
        <f aca="false">E57*$E$106</f>
        <v>18.4957006162828</v>
      </c>
      <c r="G57" s="69" t="n">
        <f aca="false">TRUNC(F57*(1+$T$16),2)</f>
        <v>23.77</v>
      </c>
      <c r="H57" s="70"/>
      <c r="I57" s="69"/>
      <c r="J57" s="71" t="n">
        <f aca="false">H57+D57-I57</f>
        <v>170</v>
      </c>
      <c r="K57" s="109" t="n">
        <v>170</v>
      </c>
      <c r="L57" s="72" t="n">
        <f aca="false">K57*G57</f>
        <v>4040.9</v>
      </c>
      <c r="M57" s="73" t="n">
        <f aca="false">K57/J57</f>
        <v>1</v>
      </c>
      <c r="N57" s="93"/>
      <c r="O57" s="74" t="n">
        <f aca="false">N57*G57</f>
        <v>0</v>
      </c>
      <c r="P57" s="73" t="n">
        <f aca="false">N57/J57</f>
        <v>0</v>
      </c>
      <c r="Q57" s="101" t="n">
        <f aca="false">K57+N57</f>
        <v>170</v>
      </c>
      <c r="R57" s="76" t="n">
        <f aca="false">ROUND(SUM(L57+O57),2)</f>
        <v>4040.9</v>
      </c>
      <c r="S57" s="102" t="n">
        <f aca="false">M57+P57</f>
        <v>1</v>
      </c>
      <c r="T57" s="85" t="n">
        <v>170</v>
      </c>
    </row>
    <row r="58" customFormat="false" ht="13.8" hidden="false" customHeight="false" outlineLevel="0" collapsed="false">
      <c r="A58" s="87" t="s">
        <v>117</v>
      </c>
      <c r="B58" s="88" t="s">
        <v>118</v>
      </c>
      <c r="C58" s="54"/>
      <c r="D58" s="55"/>
      <c r="E58" s="55"/>
      <c r="F58" s="55"/>
      <c r="G58" s="56"/>
      <c r="H58" s="89"/>
      <c r="I58" s="56"/>
      <c r="J58" s="90"/>
      <c r="K58" s="60"/>
      <c r="L58" s="61"/>
      <c r="M58" s="62"/>
      <c r="N58" s="55"/>
      <c r="O58" s="91"/>
      <c r="P58" s="62"/>
      <c r="Q58" s="61"/>
      <c r="R58" s="61"/>
      <c r="S58" s="62"/>
      <c r="T58" s="85"/>
    </row>
    <row r="59" customFormat="false" ht="13.8" hidden="false" customHeight="false" outlineLevel="0" collapsed="false">
      <c r="A59" s="63" t="s">
        <v>119</v>
      </c>
      <c r="B59" s="81" t="s">
        <v>120</v>
      </c>
      <c r="C59" s="92" t="s">
        <v>60</v>
      </c>
      <c r="D59" s="93" t="n">
        <v>96</v>
      </c>
      <c r="E59" s="66" t="n">
        <v>364.128284138826</v>
      </c>
      <c r="F59" s="94" t="n">
        <f aca="false">559.82/((1+$T$16))</f>
        <v>435.488136911708</v>
      </c>
      <c r="G59" s="69" t="n">
        <f aca="false">TRUNC(F59*(1+$T$16),2)</f>
        <v>559.82</v>
      </c>
      <c r="H59" s="70" t="n">
        <v>98</v>
      </c>
      <c r="I59" s="69"/>
      <c r="J59" s="71" t="n">
        <f aca="false">H59+D59-I59</f>
        <v>194</v>
      </c>
      <c r="K59" s="70" t="n">
        <v>15</v>
      </c>
      <c r="L59" s="72" t="n">
        <f aca="false">K59*G59</f>
        <v>8397.3</v>
      </c>
      <c r="M59" s="73" t="n">
        <f aca="false">K59/J59</f>
        <v>0.077319587628866</v>
      </c>
      <c r="N59" s="93" t="n">
        <v>150</v>
      </c>
      <c r="O59" s="74" t="n">
        <f aca="false">N59*G59</f>
        <v>83973</v>
      </c>
      <c r="P59" s="73" t="n">
        <f aca="false">N59/J59</f>
        <v>0.77319587628866</v>
      </c>
      <c r="Q59" s="75" t="n">
        <f aca="false">K59+N59</f>
        <v>165</v>
      </c>
      <c r="R59" s="76" t="n">
        <f aca="false">ROUND(SUM(L59+O59),2)</f>
        <v>92370.3</v>
      </c>
      <c r="S59" s="77" t="n">
        <f aca="false">M59+P59</f>
        <v>0.850515463917526</v>
      </c>
      <c r="T59" s="95" t="n">
        <v>15</v>
      </c>
      <c r="U59" s="96"/>
      <c r="V59" s="96"/>
      <c r="W59" s="96"/>
      <c r="X59" s="1"/>
      <c r="Y59" s="1"/>
      <c r="Z59" s="1"/>
      <c r="AA59" s="1"/>
      <c r="AB59" s="1"/>
    </row>
    <row r="60" s="83" customFormat="true" ht="22.35" hidden="false" customHeight="false" outlineLevel="0" collapsed="false">
      <c r="A60" s="99" t="s">
        <v>121</v>
      </c>
      <c r="B60" s="81" t="s">
        <v>106</v>
      </c>
      <c r="C60" s="92" t="s">
        <v>53</v>
      </c>
      <c r="D60" s="93" t="n">
        <v>2080</v>
      </c>
      <c r="E60" s="66" t="n">
        <v>27.5863606876419</v>
      </c>
      <c r="F60" s="94" t="n">
        <f aca="false">E60*$E$105</f>
        <v>32.9932873824197</v>
      </c>
      <c r="G60" s="69" t="n">
        <f aca="false">TRUNC(F60*(1+$T$16),2)</f>
        <v>42.41</v>
      </c>
      <c r="H60" s="70" t="n">
        <v>846.04</v>
      </c>
      <c r="I60" s="69"/>
      <c r="J60" s="71" t="n">
        <f aca="false">H60+D60-I60</f>
        <v>2926.04</v>
      </c>
      <c r="K60" s="70" t="n">
        <v>2926.04</v>
      </c>
      <c r="L60" s="72" t="n">
        <f aca="false">K60*G60</f>
        <v>124093.3564</v>
      </c>
      <c r="M60" s="73" t="n">
        <f aca="false">K60/J60</f>
        <v>1</v>
      </c>
      <c r="N60" s="93"/>
      <c r="O60" s="74" t="n">
        <f aca="false">N60*G60</f>
        <v>0</v>
      </c>
      <c r="P60" s="73" t="n">
        <f aca="false">N60/J60</f>
        <v>0</v>
      </c>
      <c r="Q60" s="101" t="n">
        <f aca="false">K60+N60</f>
        <v>2926.04</v>
      </c>
      <c r="R60" s="76" t="n">
        <f aca="false">ROUND(SUM(L60+O60),2)</f>
        <v>124093.36</v>
      </c>
      <c r="S60" s="102" t="n">
        <f aca="false">M60+P60</f>
        <v>1</v>
      </c>
      <c r="T60" s="85" t="n">
        <v>2926.04</v>
      </c>
      <c r="U60" s="1"/>
      <c r="V60" s="1"/>
      <c r="W60" s="1"/>
      <c r="X60" s="1"/>
      <c r="Y60" s="1"/>
      <c r="Z60" s="1"/>
      <c r="AA60" s="1"/>
      <c r="AB60" s="1"/>
    </row>
    <row r="61" customFormat="false" ht="13.8" hidden="false" customHeight="false" outlineLevel="0" collapsed="false">
      <c r="A61" s="63" t="s">
        <v>122</v>
      </c>
      <c r="B61" s="81" t="s">
        <v>123</v>
      </c>
      <c r="C61" s="92" t="s">
        <v>60</v>
      </c>
      <c r="D61" s="93" t="n">
        <v>21.87866592</v>
      </c>
      <c r="E61" s="66" t="n">
        <v>223.965</v>
      </c>
      <c r="F61" s="94" t="n">
        <f aca="false">E61*$E$105</f>
        <v>267.86214</v>
      </c>
      <c r="G61" s="69" t="n">
        <f aca="false">TRUNC(F61*(1+$T$16),2)</f>
        <v>344.33</v>
      </c>
      <c r="H61" s="70" t="n">
        <v>5.1</v>
      </c>
      <c r="I61" s="69"/>
      <c r="J61" s="71" t="n">
        <f aca="false">H61+D61-I61</f>
        <v>26.97866592</v>
      </c>
      <c r="K61" s="70" t="n">
        <v>26.97866291</v>
      </c>
      <c r="L61" s="72" t="n">
        <f aca="false">K61*G61</f>
        <v>9289.5629998003</v>
      </c>
      <c r="M61" s="73" t="n">
        <f aca="false">K61/J61</f>
        <v>0.999999888430362</v>
      </c>
      <c r="N61" s="93"/>
      <c r="O61" s="74" t="n">
        <f aca="false">N61*G61</f>
        <v>0</v>
      </c>
      <c r="P61" s="73" t="n">
        <f aca="false">N61/J61</f>
        <v>0</v>
      </c>
      <c r="Q61" s="75" t="n">
        <f aca="false">K61+N61</f>
        <v>26.97866291</v>
      </c>
      <c r="R61" s="76" t="n">
        <f aca="false">ROUND(SUM(L61+O61),2)</f>
        <v>9289.56</v>
      </c>
      <c r="S61" s="102" t="n">
        <f aca="false">M61+P61</f>
        <v>0.999999888430362</v>
      </c>
      <c r="T61" s="112" t="n">
        <v>26.98</v>
      </c>
      <c r="U61" s="96"/>
      <c r="V61" s="96"/>
      <c r="W61" s="96"/>
      <c r="X61" s="1"/>
      <c r="Y61" s="1"/>
      <c r="Z61" s="1"/>
      <c r="AA61" s="1"/>
      <c r="AB61" s="1"/>
    </row>
    <row r="62" customFormat="false" ht="13.8" hidden="false" customHeight="false" outlineLevel="0" collapsed="false">
      <c r="A62" s="99" t="s">
        <v>124</v>
      </c>
      <c r="B62" s="81" t="s">
        <v>125</v>
      </c>
      <c r="C62" s="92" t="s">
        <v>48</v>
      </c>
      <c r="D62" s="93" t="n">
        <v>959.5</v>
      </c>
      <c r="E62" s="66" t="n">
        <v>18.4706454751865</v>
      </c>
      <c r="F62" s="94" t="n">
        <f aca="false">E62*$E$105</f>
        <v>22.0908919883231</v>
      </c>
      <c r="G62" s="69" t="n">
        <f aca="false">TRUNC(F62*(1+$T$16),2)</f>
        <v>28.39</v>
      </c>
      <c r="H62" s="70" t="n">
        <v>176.4</v>
      </c>
      <c r="I62" s="69"/>
      <c r="J62" s="71" t="n">
        <f aca="false">H62+D62-I62</f>
        <v>1135.9</v>
      </c>
      <c r="K62" s="109" t="n">
        <v>1135.9</v>
      </c>
      <c r="L62" s="72" t="n">
        <f aca="false">K62*G62</f>
        <v>32248.201</v>
      </c>
      <c r="M62" s="73" t="n">
        <f aca="false">K62/J62</f>
        <v>1</v>
      </c>
      <c r="N62" s="93"/>
      <c r="O62" s="74" t="n">
        <f aca="false">N62*G62</f>
        <v>0</v>
      </c>
      <c r="P62" s="73" t="n">
        <f aca="false">N62/J62</f>
        <v>0</v>
      </c>
      <c r="Q62" s="101" t="n">
        <f aca="false">K62+N62</f>
        <v>1135.9</v>
      </c>
      <c r="R62" s="76" t="n">
        <f aca="false">ROUND(SUM(L62+O62),2)</f>
        <v>32248.2</v>
      </c>
      <c r="S62" s="102" t="n">
        <f aca="false">M62+P62</f>
        <v>1</v>
      </c>
      <c r="T62" s="85" t="n">
        <v>1135.9</v>
      </c>
    </row>
    <row r="63" customFormat="false" ht="22.35" hidden="false" customHeight="false" outlineLevel="0" collapsed="false">
      <c r="A63" s="99" t="s">
        <v>126</v>
      </c>
      <c r="B63" s="113" t="s">
        <v>127</v>
      </c>
      <c r="C63" s="86" t="s">
        <v>53</v>
      </c>
      <c r="D63" s="93" t="n">
        <v>144.0866</v>
      </c>
      <c r="E63" s="66" t="n">
        <v>6.21991566655855</v>
      </c>
      <c r="F63" s="94" t="n">
        <f aca="false">E63*$E$105</f>
        <v>7.43901913720402</v>
      </c>
      <c r="G63" s="69" t="n">
        <f aca="false">TRUNC(F63*(1+$T$16),2)</f>
        <v>9.56</v>
      </c>
      <c r="H63" s="70" t="n">
        <v>25.45</v>
      </c>
      <c r="I63" s="69"/>
      <c r="J63" s="71" t="n">
        <f aca="false">H63+D63-I63</f>
        <v>169.5366</v>
      </c>
      <c r="K63" s="109" t="n">
        <v>169.5368201</v>
      </c>
      <c r="L63" s="72" t="n">
        <f aca="false">K63*G63</f>
        <v>1620.772000156</v>
      </c>
      <c r="M63" s="73" t="n">
        <f aca="false">K63/J63</f>
        <v>1.00000129824474</v>
      </c>
      <c r="N63" s="93"/>
      <c r="O63" s="74" t="n">
        <f aca="false">N63*G63</f>
        <v>0</v>
      </c>
      <c r="P63" s="73" t="n">
        <f aca="false">N63/J63</f>
        <v>0</v>
      </c>
      <c r="Q63" s="101" t="n">
        <f aca="false">K63+N63</f>
        <v>169.5368201</v>
      </c>
      <c r="R63" s="76" t="n">
        <f aca="false">ROUND(SUM(L63+O63),2)</f>
        <v>1620.77</v>
      </c>
      <c r="S63" s="102" t="n">
        <f aca="false">ROUND(SUM(M63+P63),2)</f>
        <v>1</v>
      </c>
      <c r="T63" s="114" t="n">
        <v>169.54</v>
      </c>
    </row>
    <row r="64" s="96" customFormat="true" ht="22.35" hidden="false" customHeight="false" outlineLevel="0" collapsed="false">
      <c r="A64" s="99" t="s">
        <v>128</v>
      </c>
      <c r="B64" s="113" t="s">
        <v>129</v>
      </c>
      <c r="C64" s="86" t="s">
        <v>60</v>
      </c>
      <c r="D64" s="93" t="n">
        <v>14.0625</v>
      </c>
      <c r="E64" s="66" t="n">
        <v>82.6415828738242</v>
      </c>
      <c r="F64" s="94" t="n">
        <f aca="false">E64*$E$105</f>
        <v>98.8393331170937</v>
      </c>
      <c r="G64" s="69" t="n">
        <f aca="false">TRUNC(F64*(1+$T$16),2)</f>
        <v>127.05</v>
      </c>
      <c r="H64" s="70"/>
      <c r="I64" s="69"/>
      <c r="J64" s="71" t="n">
        <f aca="false">H64+D64-I64</f>
        <v>14.0625</v>
      </c>
      <c r="K64" s="70" t="n">
        <v>14.06</v>
      </c>
      <c r="L64" s="72" t="n">
        <f aca="false">K64*G64</f>
        <v>1786.323</v>
      </c>
      <c r="M64" s="73" t="n">
        <f aca="false">K64/J64</f>
        <v>0.999822222222222</v>
      </c>
      <c r="N64" s="93"/>
      <c r="O64" s="74" t="n">
        <f aca="false">N64*G64</f>
        <v>0</v>
      </c>
      <c r="P64" s="73" t="n">
        <f aca="false">N64/J64</f>
        <v>0</v>
      </c>
      <c r="Q64" s="101" t="n">
        <f aca="false">K64+N64</f>
        <v>14.06</v>
      </c>
      <c r="R64" s="76" t="n">
        <f aca="false">ROUND(SUM(L64+O64),2)</f>
        <v>1786.32</v>
      </c>
      <c r="S64" s="102" t="n">
        <f aca="false">M64+P64</f>
        <v>0.999822222222222</v>
      </c>
      <c r="T64" s="85" t="n">
        <v>14.06</v>
      </c>
      <c r="U64" s="1"/>
      <c r="V64" s="1"/>
      <c r="W64" s="1"/>
      <c r="X64" s="1"/>
      <c r="Y64" s="1"/>
      <c r="Z64" s="1"/>
      <c r="AA64" s="1"/>
      <c r="AB64" s="1"/>
    </row>
    <row r="65" customFormat="false" ht="22.35" hidden="false" customHeight="false" outlineLevel="0" collapsed="false">
      <c r="A65" s="99" t="s">
        <v>130</v>
      </c>
      <c r="B65" s="115" t="s">
        <v>131</v>
      </c>
      <c r="C65" s="116" t="s">
        <v>48</v>
      </c>
      <c r="D65" s="93" t="n">
        <v>2700</v>
      </c>
      <c r="E65" s="66" t="n">
        <v>38.3136</v>
      </c>
      <c r="F65" s="94" t="n">
        <f aca="false">E65*E111</f>
        <v>41.5319424</v>
      </c>
      <c r="G65" s="69" t="n">
        <f aca="false">TRUNC(F65*(1+$T$16),2)</f>
        <v>53.38</v>
      </c>
      <c r="H65" s="70" t="n">
        <v>468</v>
      </c>
      <c r="I65" s="69"/>
      <c r="J65" s="71" t="n">
        <f aca="false">H65+D65-I65</f>
        <v>3168</v>
      </c>
      <c r="K65" s="109" t="n">
        <v>3168</v>
      </c>
      <c r="L65" s="72" t="n">
        <f aca="false">K65*G65</f>
        <v>169107.84</v>
      </c>
      <c r="M65" s="73" t="n">
        <f aca="false">K65/J65</f>
        <v>1</v>
      </c>
      <c r="N65" s="93"/>
      <c r="O65" s="74" t="n">
        <f aca="false">N65*G65</f>
        <v>0</v>
      </c>
      <c r="P65" s="73" t="n">
        <f aca="false">N65/J65</f>
        <v>0</v>
      </c>
      <c r="Q65" s="101" t="n">
        <f aca="false">K65+N65</f>
        <v>3168</v>
      </c>
      <c r="R65" s="76" t="n">
        <f aca="false">ROUND(SUM(L65+O65),2)</f>
        <v>169107.84</v>
      </c>
      <c r="S65" s="102" t="n">
        <f aca="false">M65+P65</f>
        <v>1</v>
      </c>
      <c r="T65" s="85" t="n">
        <v>3168</v>
      </c>
    </row>
    <row r="66" s="96" customFormat="true" ht="13.8" hidden="false" customHeight="false" outlineLevel="0" collapsed="false">
      <c r="A66" s="87" t="s">
        <v>132</v>
      </c>
      <c r="B66" s="88" t="s">
        <v>133</v>
      </c>
      <c r="C66" s="54"/>
      <c r="D66" s="55"/>
      <c r="E66" s="55"/>
      <c r="F66" s="55"/>
      <c r="G66" s="56"/>
      <c r="H66" s="89"/>
      <c r="I66" s="56"/>
      <c r="J66" s="90"/>
      <c r="K66" s="60"/>
      <c r="L66" s="61"/>
      <c r="M66" s="62"/>
      <c r="N66" s="55"/>
      <c r="O66" s="91"/>
      <c r="P66" s="62"/>
      <c r="Q66" s="61"/>
      <c r="R66" s="61"/>
      <c r="S66" s="62"/>
      <c r="T66" s="85"/>
      <c r="U66" s="1"/>
      <c r="V66" s="1"/>
      <c r="W66" s="1"/>
      <c r="X66" s="1"/>
      <c r="Y66" s="1"/>
      <c r="Z66" s="1"/>
      <c r="AA66" s="1"/>
      <c r="AB66" s="1"/>
    </row>
    <row r="67" customFormat="false" ht="22.35" hidden="false" customHeight="false" outlineLevel="0" collapsed="false">
      <c r="A67" s="99" t="s">
        <v>134</v>
      </c>
      <c r="B67" s="81" t="s">
        <v>135</v>
      </c>
      <c r="C67" s="92" t="s">
        <v>53</v>
      </c>
      <c r="D67" s="117" t="n">
        <v>1020</v>
      </c>
      <c r="E67" s="66" t="n">
        <v>40.6138501459617</v>
      </c>
      <c r="F67" s="94" t="n">
        <f aca="false">E67*$E$105</f>
        <v>48.5741647745702</v>
      </c>
      <c r="G67" s="69" t="n">
        <f aca="false">TRUNC(F67*(1+$T$16),2)</f>
        <v>62.44</v>
      </c>
      <c r="H67" s="70" t="n">
        <v>83</v>
      </c>
      <c r="I67" s="69"/>
      <c r="J67" s="71" t="n">
        <f aca="false">H67+D67-I67</f>
        <v>1103</v>
      </c>
      <c r="K67" s="109" t="n">
        <v>1103</v>
      </c>
      <c r="L67" s="72" t="n">
        <f aca="false">K67*G67</f>
        <v>68871.32</v>
      </c>
      <c r="M67" s="73" t="n">
        <f aca="false">K67/J67</f>
        <v>1</v>
      </c>
      <c r="N67" s="93"/>
      <c r="O67" s="74" t="n">
        <f aca="false">N67*G67</f>
        <v>0</v>
      </c>
      <c r="P67" s="73" t="n">
        <f aca="false">N67/J67</f>
        <v>0</v>
      </c>
      <c r="Q67" s="101" t="n">
        <f aca="false">K67+N67</f>
        <v>1103</v>
      </c>
      <c r="R67" s="76" t="n">
        <f aca="false">ROUND(SUM(L67+O67),2)</f>
        <v>68871.32</v>
      </c>
      <c r="S67" s="102" t="n">
        <f aca="false">M67+P67</f>
        <v>1</v>
      </c>
      <c r="T67" s="85" t="n">
        <v>1103</v>
      </c>
    </row>
    <row r="68" customFormat="false" ht="22.35" hidden="false" customHeight="false" outlineLevel="0" collapsed="false">
      <c r="A68" s="99" t="s">
        <v>136</v>
      </c>
      <c r="B68" s="81" t="s">
        <v>137</v>
      </c>
      <c r="C68" s="92" t="s">
        <v>53</v>
      </c>
      <c r="D68" s="117" t="n">
        <v>51</v>
      </c>
      <c r="E68" s="66" t="n">
        <v>136.543139798897</v>
      </c>
      <c r="F68" s="94" t="n">
        <f aca="false">E68*$E$105</f>
        <v>163.305595199481</v>
      </c>
      <c r="G68" s="69" t="n">
        <f aca="false">TRUNC(F68*(1+$T$16),2)</f>
        <v>209.92</v>
      </c>
      <c r="H68" s="70"/>
      <c r="I68" s="69"/>
      <c r="J68" s="71" t="n">
        <f aca="false">H68+D68-I68</f>
        <v>51</v>
      </c>
      <c r="K68" s="109" t="n">
        <v>51</v>
      </c>
      <c r="L68" s="72" t="n">
        <f aca="false">K68*G68</f>
        <v>10705.92</v>
      </c>
      <c r="M68" s="73" t="n">
        <f aca="false">K68/J68</f>
        <v>1</v>
      </c>
      <c r="N68" s="93"/>
      <c r="O68" s="74" t="n">
        <f aca="false">N68*G68</f>
        <v>0</v>
      </c>
      <c r="P68" s="73" t="n">
        <f aca="false">N68/J68</f>
        <v>0</v>
      </c>
      <c r="Q68" s="101" t="n">
        <f aca="false">K68+N68</f>
        <v>51</v>
      </c>
      <c r="R68" s="76" t="n">
        <f aca="false">ROUND(SUM(L68+O68),2)</f>
        <v>10705.92</v>
      </c>
      <c r="S68" s="102" t="n">
        <f aca="false">M68+P68</f>
        <v>1</v>
      </c>
      <c r="T68" s="85" t="n">
        <v>51</v>
      </c>
    </row>
    <row r="69" customFormat="false" ht="22.35" hidden="false" customHeight="false" outlineLevel="0" collapsed="false">
      <c r="A69" s="63" t="s">
        <v>138</v>
      </c>
      <c r="B69" s="118" t="s">
        <v>139</v>
      </c>
      <c r="C69" s="92" t="s">
        <v>60</v>
      </c>
      <c r="D69" s="117" t="n">
        <v>226.36</v>
      </c>
      <c r="E69" s="66" t="n">
        <v>412.382419721051</v>
      </c>
      <c r="F69" s="94" t="n">
        <f aca="false">634.01/((1+$T$16))</f>
        <v>493.201089070401</v>
      </c>
      <c r="G69" s="69" t="n">
        <f aca="false">TRUNC(F69*(1+$T$16),2)</f>
        <v>634.01</v>
      </c>
      <c r="H69" s="70"/>
      <c r="I69" s="69"/>
      <c r="J69" s="71" t="n">
        <f aca="false">H69+D69-I69</f>
        <v>226.36</v>
      </c>
      <c r="K69" s="70" t="n">
        <v>226.36</v>
      </c>
      <c r="L69" s="72" t="n">
        <f aca="false">K69*G69</f>
        <v>143514.5036</v>
      </c>
      <c r="M69" s="73" t="n">
        <f aca="false">K69/J69</f>
        <v>1</v>
      </c>
      <c r="N69" s="93"/>
      <c r="O69" s="74" t="n">
        <f aca="false">N69*G69</f>
        <v>0</v>
      </c>
      <c r="P69" s="73" t="n">
        <f aca="false">N69/J69</f>
        <v>0</v>
      </c>
      <c r="Q69" s="75" t="n">
        <f aca="false">K69+N69</f>
        <v>226.36</v>
      </c>
      <c r="R69" s="76" t="n">
        <f aca="false">ROUND(SUM(L69+O69),2)</f>
        <v>143514.5</v>
      </c>
      <c r="S69" s="77" t="n">
        <f aca="false">M69+P69</f>
        <v>1</v>
      </c>
      <c r="T69" s="78" t="n">
        <v>226.36</v>
      </c>
      <c r="U69" s="96" t="n">
        <v>71.86</v>
      </c>
      <c r="V69" s="83"/>
      <c r="W69" s="83"/>
      <c r="X69" s="1"/>
      <c r="Y69" s="1"/>
      <c r="Z69" s="1"/>
      <c r="AA69" s="1"/>
      <c r="AB69" s="1"/>
    </row>
    <row r="70" customFormat="false" ht="22.35" hidden="false" customHeight="false" outlineLevel="0" collapsed="false">
      <c r="A70" s="63" t="s">
        <v>140</v>
      </c>
      <c r="B70" s="81" t="s">
        <v>141</v>
      </c>
      <c r="C70" s="92" t="s">
        <v>48</v>
      </c>
      <c r="D70" s="117" t="n">
        <v>170</v>
      </c>
      <c r="E70" s="66" t="n">
        <v>58.6052546221213</v>
      </c>
      <c r="F70" s="94" t="n">
        <f aca="false">E70*$E$105</f>
        <v>70.0918845280571</v>
      </c>
      <c r="G70" s="69" t="n">
        <f aca="false">TRUNC(F70*(1+$T$16),2)</f>
        <v>90.1</v>
      </c>
      <c r="H70" s="70" t="n">
        <v>84</v>
      </c>
      <c r="I70" s="69"/>
      <c r="J70" s="71" t="n">
        <f aca="false">H70+D70-I70</f>
        <v>254</v>
      </c>
      <c r="K70" s="70" t="n">
        <v>254</v>
      </c>
      <c r="L70" s="72" t="n">
        <f aca="false">K70*G70</f>
        <v>22885.4</v>
      </c>
      <c r="M70" s="73" t="n">
        <f aca="false">K70/J70</f>
        <v>1</v>
      </c>
      <c r="N70" s="93"/>
      <c r="O70" s="74" t="n">
        <f aca="false">N70*G70</f>
        <v>0</v>
      </c>
      <c r="P70" s="73" t="n">
        <f aca="false">N70/J70</f>
        <v>0</v>
      </c>
      <c r="Q70" s="75" t="n">
        <f aca="false">K70+N70</f>
        <v>254</v>
      </c>
      <c r="R70" s="76" t="n">
        <f aca="false">ROUND(SUM(L70+O70),2)</f>
        <v>22885.4</v>
      </c>
      <c r="S70" s="77" t="n">
        <f aca="false">M70+P70</f>
        <v>1</v>
      </c>
      <c r="T70" s="85" t="n">
        <v>254</v>
      </c>
    </row>
    <row r="71" customFormat="false" ht="32.8" hidden="false" customHeight="false" outlineLevel="0" collapsed="false">
      <c r="A71" s="63" t="s">
        <v>142</v>
      </c>
      <c r="B71" s="81" t="s">
        <v>143</v>
      </c>
      <c r="C71" s="92" t="s">
        <v>48</v>
      </c>
      <c r="D71" s="117" t="n">
        <v>1020</v>
      </c>
      <c r="E71" s="66" t="n">
        <v>11.606389879987</v>
      </c>
      <c r="F71" s="94" t="n">
        <f aca="false">E71*$E$105</f>
        <v>13.8812422964645</v>
      </c>
      <c r="G71" s="69" t="n">
        <f aca="false">TRUNC(F71*(1+$T$16),2)</f>
        <v>17.84</v>
      </c>
      <c r="H71" s="70" t="n">
        <v>168</v>
      </c>
      <c r="I71" s="69"/>
      <c r="J71" s="71" t="n">
        <f aca="false">H71+D71-I71</f>
        <v>1188</v>
      </c>
      <c r="K71" s="70" t="n">
        <v>1188</v>
      </c>
      <c r="L71" s="72" t="n">
        <f aca="false">K71*G71</f>
        <v>21193.92</v>
      </c>
      <c r="M71" s="73" t="n">
        <f aca="false">K71/J71</f>
        <v>1</v>
      </c>
      <c r="N71" s="93"/>
      <c r="O71" s="74" t="n">
        <f aca="false">N71*G71</f>
        <v>0</v>
      </c>
      <c r="P71" s="73" t="n">
        <f aca="false">N71/J71</f>
        <v>0</v>
      </c>
      <c r="Q71" s="75" t="n">
        <f aca="false">K71+N71</f>
        <v>1188</v>
      </c>
      <c r="R71" s="76" t="n">
        <f aca="false">ROUND(SUM(L71+O71),2)</f>
        <v>21193.92</v>
      </c>
      <c r="S71" s="77" t="n">
        <f aca="false">M71+P71</f>
        <v>1</v>
      </c>
      <c r="T71" s="85" t="n">
        <v>1188</v>
      </c>
      <c r="U71" s="84" t="n">
        <f aca="false">634.79/((1+$T$16))</f>
        <v>493.807856865033</v>
      </c>
    </row>
    <row r="72" customFormat="false" ht="22.35" hidden="false" customHeight="false" outlineLevel="0" collapsed="false">
      <c r="A72" s="63" t="s">
        <v>144</v>
      </c>
      <c r="B72" s="81" t="s">
        <v>145</v>
      </c>
      <c r="C72" s="92" t="s">
        <v>146</v>
      </c>
      <c r="D72" s="117" t="n">
        <v>13404</v>
      </c>
      <c r="E72" s="66" t="n">
        <v>7.96099578332793</v>
      </c>
      <c r="F72" s="94" t="n">
        <f aca="false">E72*$E$105</f>
        <v>9.5213509568602</v>
      </c>
      <c r="G72" s="69" t="n">
        <f aca="false">TRUNC(F72*(1+$T$16),2)</f>
        <v>12.23</v>
      </c>
      <c r="H72" s="70" t="n">
        <v>279</v>
      </c>
      <c r="I72" s="69"/>
      <c r="J72" s="71" t="n">
        <f aca="false">H72+D72-I72</f>
        <v>13683</v>
      </c>
      <c r="K72" s="70" t="n">
        <v>13683</v>
      </c>
      <c r="L72" s="72" t="n">
        <f aca="false">K72*G72</f>
        <v>167343.09</v>
      </c>
      <c r="M72" s="73" t="n">
        <f aca="false">K72/J72</f>
        <v>1</v>
      </c>
      <c r="N72" s="93"/>
      <c r="O72" s="74" t="n">
        <f aca="false">N72*G72</f>
        <v>0</v>
      </c>
      <c r="P72" s="73" t="n">
        <f aca="false">N72/J72</f>
        <v>0</v>
      </c>
      <c r="Q72" s="75" t="n">
        <f aca="false">K72+N72</f>
        <v>13683</v>
      </c>
      <c r="R72" s="76" t="n">
        <f aca="false">ROUND(SUM(L72+O72),2)</f>
        <v>167343.09</v>
      </c>
      <c r="S72" s="77" t="n">
        <f aca="false">M72+P72</f>
        <v>1</v>
      </c>
      <c r="T72" s="85" t="n">
        <v>13683</v>
      </c>
    </row>
    <row r="73" customFormat="false" ht="13.8" hidden="false" customHeight="false" outlineLevel="0" collapsed="false">
      <c r="A73" s="63" t="s">
        <v>147</v>
      </c>
      <c r="B73" s="81" t="s">
        <v>148</v>
      </c>
      <c r="C73" s="92" t="s">
        <v>92</v>
      </c>
      <c r="D73" s="117" t="n">
        <v>93</v>
      </c>
      <c r="E73" s="66" t="n">
        <v>437.1423937723</v>
      </c>
      <c r="F73" s="94" t="n">
        <f aca="false">E73*$E$105</f>
        <v>522.822302951671</v>
      </c>
      <c r="G73" s="69" t="n">
        <f aca="false">TRUNC(F73*(1+$T$16),2)</f>
        <v>672.08</v>
      </c>
      <c r="H73" s="70" t="n">
        <v>3</v>
      </c>
      <c r="I73" s="69"/>
      <c r="J73" s="71" t="n">
        <f aca="false">H73+D73-I73</f>
        <v>96</v>
      </c>
      <c r="K73" s="70" t="n">
        <v>96</v>
      </c>
      <c r="L73" s="72" t="n">
        <f aca="false">K73*G73</f>
        <v>64519.68</v>
      </c>
      <c r="M73" s="73" t="n">
        <f aca="false">K73/J73</f>
        <v>1</v>
      </c>
      <c r="N73" s="93"/>
      <c r="O73" s="74" t="n">
        <f aca="false">N73*G73</f>
        <v>0</v>
      </c>
      <c r="P73" s="73" t="n">
        <f aca="false">N73/J73</f>
        <v>0</v>
      </c>
      <c r="Q73" s="75" t="n">
        <f aca="false">K73+N73</f>
        <v>96</v>
      </c>
      <c r="R73" s="76" t="n">
        <f aca="false">ROUND(SUM(L73+O73),2)</f>
        <v>64519.68</v>
      </c>
      <c r="S73" s="77" t="n">
        <f aca="false">M73+P73</f>
        <v>1</v>
      </c>
      <c r="T73" s="85" t="n">
        <v>96</v>
      </c>
    </row>
    <row r="74" s="83" customFormat="true" ht="32.8" hidden="false" customHeight="false" outlineLevel="0" collapsed="false">
      <c r="A74" s="63" t="s">
        <v>149</v>
      </c>
      <c r="B74" s="81" t="s">
        <v>150</v>
      </c>
      <c r="C74" s="92" t="s">
        <v>48</v>
      </c>
      <c r="D74" s="117" t="n">
        <v>1108.5</v>
      </c>
      <c r="E74" s="66" t="n">
        <v>132.403503081414</v>
      </c>
      <c r="F74" s="94" t="n">
        <f aca="false">E74*$E$105</f>
        <v>158.354589685371</v>
      </c>
      <c r="G74" s="69" t="n">
        <f aca="false">TRUNC(F74*(1+$T$16),2)</f>
        <v>203.56</v>
      </c>
      <c r="H74" s="70" t="n">
        <v>815</v>
      </c>
      <c r="I74" s="69"/>
      <c r="J74" s="71" t="n">
        <f aca="false">H74+D74-I74</f>
        <v>1923.5</v>
      </c>
      <c r="K74" s="70" t="n">
        <v>1923.5</v>
      </c>
      <c r="L74" s="72" t="n">
        <f aca="false">K74*G74</f>
        <v>391547.66</v>
      </c>
      <c r="M74" s="73" t="n">
        <f aca="false">K74/J74</f>
        <v>1</v>
      </c>
      <c r="N74" s="93"/>
      <c r="O74" s="74" t="n">
        <f aca="false">N74*G74</f>
        <v>0</v>
      </c>
      <c r="P74" s="73" t="n">
        <f aca="false">N74/J74</f>
        <v>0</v>
      </c>
      <c r="Q74" s="75" t="n">
        <f aca="false">K74+N74</f>
        <v>1923.5</v>
      </c>
      <c r="R74" s="76" t="n">
        <f aca="false">ROUND(SUM(L74+O74),2)</f>
        <v>391547.66</v>
      </c>
      <c r="S74" s="77" t="n">
        <f aca="false">M74+P74</f>
        <v>1</v>
      </c>
      <c r="T74" s="85" t="n">
        <v>1923.5</v>
      </c>
      <c r="U74" s="1"/>
      <c r="V74" s="1"/>
      <c r="W74" s="1"/>
      <c r="X74" s="1"/>
      <c r="Y74" s="1"/>
      <c r="Z74" s="1"/>
      <c r="AA74" s="1"/>
      <c r="AB74" s="1"/>
    </row>
    <row r="75" customFormat="false" ht="13.8" hidden="false" customHeight="false" outlineLevel="0" collapsed="false">
      <c r="A75" s="63" t="s">
        <v>151</v>
      </c>
      <c r="B75" s="81" t="s">
        <v>152</v>
      </c>
      <c r="C75" s="92" t="s">
        <v>153</v>
      </c>
      <c r="D75" s="117" t="n">
        <v>136.0732246875</v>
      </c>
      <c r="E75" s="66" t="n">
        <v>28.9717807330522</v>
      </c>
      <c r="F75" s="94" t="n">
        <f aca="false">E75*$E$105</f>
        <v>34.6502497567305</v>
      </c>
      <c r="G75" s="69" t="n">
        <f aca="false">TRUNC(F75*(1+$T$16),2)</f>
        <v>44.54</v>
      </c>
      <c r="H75" s="70" t="n">
        <v>119.81</v>
      </c>
      <c r="I75" s="69"/>
      <c r="J75" s="71" t="n">
        <f aca="false">H75+D75-I75</f>
        <v>255.8832246875</v>
      </c>
      <c r="K75" s="70" t="n">
        <v>255.8797171</v>
      </c>
      <c r="L75" s="72" t="n">
        <f aca="false">K75*G75</f>
        <v>11396.882599634</v>
      </c>
      <c r="M75" s="73" t="n">
        <f aca="false">K75/J75</f>
        <v>0.999986292233482</v>
      </c>
      <c r="N75" s="93"/>
      <c r="O75" s="74" t="n">
        <f aca="false">N75*G75</f>
        <v>0</v>
      </c>
      <c r="P75" s="73" t="n">
        <f aca="false">N75/J75</f>
        <v>0</v>
      </c>
      <c r="Q75" s="75" t="n">
        <f aca="false">K75+N75</f>
        <v>255.8797171</v>
      </c>
      <c r="R75" s="76" t="n">
        <f aca="false">ROUND(SUM(L75+O75),2)</f>
        <v>11396.88</v>
      </c>
      <c r="S75" s="77" t="n">
        <f aca="false">M75+P75</f>
        <v>0.999986292233482</v>
      </c>
      <c r="T75" s="119" t="n">
        <v>255.88</v>
      </c>
    </row>
    <row r="76" customFormat="false" ht="32.8" hidden="false" customHeight="false" outlineLevel="0" collapsed="false">
      <c r="A76" s="99" t="s">
        <v>154</v>
      </c>
      <c r="B76" s="81" t="s">
        <v>155</v>
      </c>
      <c r="C76" s="92" t="s">
        <v>48</v>
      </c>
      <c r="D76" s="117" t="n">
        <v>922.5</v>
      </c>
      <c r="E76" s="66" t="n">
        <v>412.891258514434</v>
      </c>
      <c r="F76" s="94" t="n">
        <f aca="false">634.79/((1+$T$16))</f>
        <v>493.807856865033</v>
      </c>
      <c r="G76" s="69" t="n">
        <f aca="false">TRUNC(F76*(1+$T$16),2)</f>
        <v>634.79</v>
      </c>
      <c r="H76" s="70" t="n">
        <v>160</v>
      </c>
      <c r="I76" s="69"/>
      <c r="J76" s="71" t="n">
        <f aca="false">H76+D76-I76</f>
        <v>1082.5</v>
      </c>
      <c r="K76" s="70" t="n">
        <v>1082.5</v>
      </c>
      <c r="L76" s="72" t="n">
        <f aca="false">K76*G76</f>
        <v>687160.175</v>
      </c>
      <c r="M76" s="73" t="n">
        <f aca="false">K76/J76</f>
        <v>1</v>
      </c>
      <c r="N76" s="93"/>
      <c r="O76" s="74" t="n">
        <f aca="false">N76*G76</f>
        <v>0</v>
      </c>
      <c r="P76" s="73" t="n">
        <f aca="false">N76/J76</f>
        <v>0</v>
      </c>
      <c r="Q76" s="75" t="n">
        <f aca="false">K76+N76</f>
        <v>1082.5</v>
      </c>
      <c r="R76" s="76" t="n">
        <f aca="false">ROUND(SUM(L76+O76),2)</f>
        <v>687160.18</v>
      </c>
      <c r="S76" s="77" t="n">
        <f aca="false">M76+P76</f>
        <v>1</v>
      </c>
      <c r="T76" s="78" t="n">
        <v>1082.5</v>
      </c>
      <c r="U76" s="83"/>
      <c r="V76" s="83"/>
      <c r="W76" s="83"/>
      <c r="X76" s="1"/>
      <c r="Y76" s="1"/>
      <c r="Z76" s="1"/>
      <c r="AA76" s="1"/>
      <c r="AB76" s="1"/>
    </row>
    <row r="77" customFormat="false" ht="13.8" hidden="false" customHeight="false" outlineLevel="0" collapsed="false">
      <c r="A77" s="99" t="s">
        <v>156</v>
      </c>
      <c r="B77" s="81" t="s">
        <v>157</v>
      </c>
      <c r="C77" s="92" t="s">
        <v>53</v>
      </c>
      <c r="D77" s="117" t="n">
        <v>765</v>
      </c>
      <c r="E77" s="66" t="n">
        <v>2.31592604605903</v>
      </c>
      <c r="F77" s="94" t="n">
        <f aca="false">E77*$E$105</f>
        <v>2.7698475510866</v>
      </c>
      <c r="G77" s="69" t="n">
        <f aca="false">TRUNC(F77*(1+$T$16),2)</f>
        <v>3.56</v>
      </c>
      <c r="H77" s="70"/>
      <c r="I77" s="69"/>
      <c r="J77" s="71" t="n">
        <f aca="false">H77+D77-I77</f>
        <v>765</v>
      </c>
      <c r="K77" s="109" t="n">
        <v>765</v>
      </c>
      <c r="L77" s="72" t="n">
        <f aca="false">K77*G77</f>
        <v>2723.4</v>
      </c>
      <c r="M77" s="73" t="n">
        <f aca="false">K77/J77</f>
        <v>1</v>
      </c>
      <c r="N77" s="93"/>
      <c r="O77" s="74" t="n">
        <f aca="false">N77*G77</f>
        <v>0</v>
      </c>
      <c r="P77" s="73" t="n">
        <f aca="false">N77/J77</f>
        <v>0</v>
      </c>
      <c r="Q77" s="101" t="n">
        <f aca="false">K77+N77</f>
        <v>765</v>
      </c>
      <c r="R77" s="76" t="n">
        <f aca="false">ROUND(SUM(L77+O77),2)</f>
        <v>2723.4</v>
      </c>
      <c r="S77" s="102" t="n">
        <f aca="false">M77+P77</f>
        <v>1</v>
      </c>
      <c r="T77" s="85" t="n">
        <v>765</v>
      </c>
    </row>
    <row r="78" customFormat="false" ht="22.35" hidden="false" customHeight="false" outlineLevel="0" collapsed="false">
      <c r="A78" s="99" t="s">
        <v>158</v>
      </c>
      <c r="B78" s="81" t="s">
        <v>159</v>
      </c>
      <c r="C78" s="92" t="s">
        <v>60</v>
      </c>
      <c r="D78" s="117" t="n">
        <v>1275</v>
      </c>
      <c r="E78" s="66" t="n">
        <v>13.8284138825819</v>
      </c>
      <c r="F78" s="94" t="n">
        <f aca="false">E78*$E$105</f>
        <v>16.538783003568</v>
      </c>
      <c r="G78" s="69" t="n">
        <f aca="false">TRUNC(F78*(1+$T$16),2)</f>
        <v>21.26</v>
      </c>
      <c r="H78" s="70"/>
      <c r="I78" s="69"/>
      <c r="J78" s="71" t="n">
        <f aca="false">H78+D78-I78</f>
        <v>1275</v>
      </c>
      <c r="K78" s="109" t="n">
        <v>1275</v>
      </c>
      <c r="L78" s="72" t="n">
        <f aca="false">K78*G78</f>
        <v>27106.5</v>
      </c>
      <c r="M78" s="73" t="n">
        <f aca="false">K78/J78</f>
        <v>1</v>
      </c>
      <c r="N78" s="93"/>
      <c r="O78" s="74" t="n">
        <f aca="false">N78*G78</f>
        <v>0</v>
      </c>
      <c r="P78" s="73" t="n">
        <f aca="false">N78/J78</f>
        <v>0</v>
      </c>
      <c r="Q78" s="101" t="n">
        <f aca="false">K78+N78</f>
        <v>1275</v>
      </c>
      <c r="R78" s="76" t="n">
        <f aca="false">ROUND(SUM(L78+O78),2)</f>
        <v>27106.5</v>
      </c>
      <c r="S78" s="102" t="n">
        <f aca="false">M78+P78</f>
        <v>1</v>
      </c>
      <c r="T78" s="85" t="n">
        <v>1275</v>
      </c>
    </row>
    <row r="79" customFormat="false" ht="22.35" hidden="false" customHeight="false" outlineLevel="0" collapsed="false">
      <c r="A79" s="99" t="s">
        <v>160</v>
      </c>
      <c r="B79" s="81" t="s">
        <v>161</v>
      </c>
      <c r="C79" s="92" t="s">
        <v>48</v>
      </c>
      <c r="D79" s="117" t="n">
        <v>1108.5</v>
      </c>
      <c r="E79" s="66" t="n">
        <v>93.4592928965294</v>
      </c>
      <c r="F79" s="94" t="n">
        <f aca="false">E79*$E$105</f>
        <v>111.777314304249</v>
      </c>
      <c r="G79" s="69" t="n">
        <f aca="false">TRUNC(F79*(1+$T$16),2)</f>
        <v>143.68</v>
      </c>
      <c r="H79" s="70"/>
      <c r="I79" s="69"/>
      <c r="J79" s="71" t="n">
        <f aca="false">H79+D79-I79</f>
        <v>1108.5</v>
      </c>
      <c r="K79" s="109" t="n">
        <v>1108.499953</v>
      </c>
      <c r="L79" s="72" t="n">
        <f aca="false">K79*G79</f>
        <v>159269.27324704</v>
      </c>
      <c r="M79" s="73" t="n">
        <f aca="false">K79/J79</f>
        <v>0.999999957600361</v>
      </c>
      <c r="N79" s="93"/>
      <c r="O79" s="74" t="n">
        <f aca="false">N79*G79</f>
        <v>0</v>
      </c>
      <c r="P79" s="73" t="n">
        <f aca="false">N79/J79</f>
        <v>0</v>
      </c>
      <c r="Q79" s="101" t="n">
        <f aca="false">K79+N79</f>
        <v>1108.499953</v>
      </c>
      <c r="R79" s="76" t="n">
        <f aca="false">ROUND(SUM(L79+O79),2)</f>
        <v>159269.27</v>
      </c>
      <c r="S79" s="102" t="n">
        <f aca="false">M79+P79</f>
        <v>0.999999957600361</v>
      </c>
      <c r="T79" s="119" t="n">
        <v>1108.5</v>
      </c>
    </row>
    <row r="80" customFormat="false" ht="13.8" hidden="false" customHeight="false" outlineLevel="0" collapsed="false">
      <c r="A80" s="87" t="s">
        <v>162</v>
      </c>
      <c r="B80" s="88" t="s">
        <v>163</v>
      </c>
      <c r="C80" s="54"/>
      <c r="D80" s="55"/>
      <c r="E80" s="55"/>
      <c r="F80" s="55"/>
      <c r="G80" s="56"/>
      <c r="H80" s="89"/>
      <c r="I80" s="56"/>
      <c r="J80" s="90"/>
      <c r="K80" s="60"/>
      <c r="L80" s="61"/>
      <c r="M80" s="62"/>
      <c r="N80" s="55"/>
      <c r="O80" s="91"/>
      <c r="P80" s="62"/>
      <c r="Q80" s="61"/>
      <c r="R80" s="61"/>
      <c r="S80" s="62"/>
      <c r="T80" s="85"/>
    </row>
    <row r="81" s="83" customFormat="true" ht="22.35" hidden="false" customHeight="false" outlineLevel="0" collapsed="false">
      <c r="A81" s="99" t="s">
        <v>164</v>
      </c>
      <c r="B81" s="81" t="s">
        <v>165</v>
      </c>
      <c r="C81" s="92" t="s">
        <v>166</v>
      </c>
      <c r="D81" s="117"/>
      <c r="E81" s="66" t="n">
        <v>170.95</v>
      </c>
      <c r="F81" s="94" t="n">
        <v>219.75</v>
      </c>
      <c r="G81" s="69" t="n">
        <v>168.09</v>
      </c>
      <c r="H81" s="70" t="n">
        <v>17.6</v>
      </c>
      <c r="I81" s="69"/>
      <c r="J81" s="71" t="n">
        <f aca="false">H81+D81-I81</f>
        <v>17.6</v>
      </c>
      <c r="K81" s="70" t="n">
        <v>17.6</v>
      </c>
      <c r="L81" s="72" t="n">
        <f aca="false">K81*G81</f>
        <v>2958.384</v>
      </c>
      <c r="M81" s="73" t="n">
        <f aca="false">K81/J81</f>
        <v>1</v>
      </c>
      <c r="N81" s="93"/>
      <c r="O81" s="74" t="n">
        <f aca="false">N81*G81</f>
        <v>0</v>
      </c>
      <c r="P81" s="73" t="n">
        <f aca="false">N81/J81</f>
        <v>0</v>
      </c>
      <c r="Q81" s="101" t="n">
        <f aca="false">K81+N81</f>
        <v>17.6</v>
      </c>
      <c r="R81" s="76" t="n">
        <f aca="false">ROUND(SUM(L81+O81),2)</f>
        <v>2958.38</v>
      </c>
      <c r="S81" s="102" t="n">
        <f aca="false">M81+P81</f>
        <v>1</v>
      </c>
      <c r="T81" s="85" t="n">
        <v>17.6</v>
      </c>
      <c r="U81" s="1"/>
      <c r="V81" s="1"/>
      <c r="W81" s="1"/>
      <c r="X81" s="1"/>
      <c r="Y81" s="1"/>
      <c r="Z81" s="1"/>
      <c r="AA81" s="1"/>
      <c r="AB81" s="1"/>
    </row>
    <row r="82" customFormat="false" ht="22.35" hidden="false" customHeight="false" outlineLevel="0" collapsed="false">
      <c r="A82" s="99" t="s">
        <v>167</v>
      </c>
      <c r="B82" s="81" t="s">
        <v>168</v>
      </c>
      <c r="C82" s="92" t="s">
        <v>45</v>
      </c>
      <c r="D82" s="117"/>
      <c r="E82" s="66" t="n">
        <v>733.33</v>
      </c>
      <c r="F82" s="94" t="n">
        <v>942.7</v>
      </c>
      <c r="G82" s="69" t="n">
        <v>721.1</v>
      </c>
      <c r="H82" s="70" t="n">
        <v>4</v>
      </c>
      <c r="I82" s="69"/>
      <c r="J82" s="71" t="n">
        <f aca="false">H82+D82-I82</f>
        <v>4</v>
      </c>
      <c r="K82" s="70" t="n">
        <v>4</v>
      </c>
      <c r="L82" s="72" t="n">
        <f aca="false">K82*G82</f>
        <v>2884.4</v>
      </c>
      <c r="M82" s="73" t="n">
        <f aca="false">K82/J82</f>
        <v>1</v>
      </c>
      <c r="N82" s="93"/>
      <c r="O82" s="74" t="n">
        <f aca="false">N82*G82</f>
        <v>0</v>
      </c>
      <c r="P82" s="73" t="n">
        <f aca="false">N82/J82</f>
        <v>0</v>
      </c>
      <c r="Q82" s="101" t="n">
        <f aca="false">K82+N82</f>
        <v>4</v>
      </c>
      <c r="R82" s="76" t="n">
        <f aca="false">ROUND(SUM(L82+O82),2)</f>
        <v>2884.4</v>
      </c>
      <c r="S82" s="102" t="n">
        <f aca="false">M82+P82</f>
        <v>1</v>
      </c>
      <c r="T82" s="85" t="n">
        <v>4</v>
      </c>
    </row>
    <row r="83" customFormat="false" ht="13.8" hidden="false" customHeight="false" outlineLevel="0" collapsed="false">
      <c r="A83" s="99" t="s">
        <v>169</v>
      </c>
      <c r="B83" s="118" t="s">
        <v>170</v>
      </c>
      <c r="C83" s="92" t="s">
        <v>171</v>
      </c>
      <c r="D83" s="117"/>
      <c r="E83" s="66" t="n">
        <v>242.55</v>
      </c>
      <c r="F83" s="94" t="n">
        <v>311.8</v>
      </c>
      <c r="G83" s="69" t="n">
        <v>229.38</v>
      </c>
      <c r="H83" s="70" t="n">
        <v>8</v>
      </c>
      <c r="I83" s="69"/>
      <c r="J83" s="71" t="n">
        <f aca="false">H83+D83-I83</f>
        <v>8</v>
      </c>
      <c r="K83" s="70" t="n">
        <v>8</v>
      </c>
      <c r="L83" s="72" t="n">
        <f aca="false">K83*G83</f>
        <v>1835.04</v>
      </c>
      <c r="M83" s="73" t="n">
        <f aca="false">K83/J83</f>
        <v>1</v>
      </c>
      <c r="N83" s="93"/>
      <c r="O83" s="74" t="n">
        <f aca="false">N83*G83</f>
        <v>0</v>
      </c>
      <c r="P83" s="73" t="n">
        <f aca="false">N83/J83</f>
        <v>0</v>
      </c>
      <c r="Q83" s="75" t="n">
        <f aca="false">K83+N83</f>
        <v>8</v>
      </c>
      <c r="R83" s="76" t="n">
        <f aca="false">ROUND(SUM(L83+O83),2)</f>
        <v>1835.04</v>
      </c>
      <c r="S83" s="77" t="n">
        <f aca="false">M83+P83</f>
        <v>1</v>
      </c>
      <c r="T83" s="85" t="n">
        <v>8</v>
      </c>
    </row>
    <row r="84" customFormat="false" ht="22.35" hidden="false" customHeight="false" outlineLevel="0" collapsed="false">
      <c r="A84" s="99" t="s">
        <v>172</v>
      </c>
      <c r="B84" s="81" t="s">
        <v>173</v>
      </c>
      <c r="C84" s="92" t="s">
        <v>166</v>
      </c>
      <c r="D84" s="117"/>
      <c r="E84" s="66" t="n">
        <v>201.89</v>
      </c>
      <c r="F84" s="94" t="n">
        <v>233.32</v>
      </c>
      <c r="G84" s="69" t="n">
        <v>176.49</v>
      </c>
      <c r="H84" s="70" t="n">
        <v>26.4</v>
      </c>
      <c r="I84" s="69"/>
      <c r="J84" s="71" t="n">
        <f aca="false">H84+D84-I84</f>
        <v>26.4</v>
      </c>
      <c r="K84" s="70" t="n">
        <v>26.4</v>
      </c>
      <c r="L84" s="72" t="n">
        <f aca="false">K84*G84</f>
        <v>4659.336</v>
      </c>
      <c r="M84" s="73" t="n">
        <f aca="false">K84/J84</f>
        <v>1</v>
      </c>
      <c r="N84" s="93"/>
      <c r="O84" s="74" t="n">
        <f aca="false">N84*G84</f>
        <v>0</v>
      </c>
      <c r="P84" s="73" t="n">
        <f aca="false">N84/J84</f>
        <v>0</v>
      </c>
      <c r="Q84" s="75" t="n">
        <f aca="false">K84+N84</f>
        <v>26.4</v>
      </c>
      <c r="R84" s="76" t="n">
        <f aca="false">ROUND(SUM(L84+O84),2)</f>
        <v>4659.34</v>
      </c>
      <c r="S84" s="77" t="n">
        <f aca="false">M84+P84</f>
        <v>1</v>
      </c>
      <c r="T84" s="85" t="n">
        <v>26.4</v>
      </c>
    </row>
    <row r="85" customFormat="false" ht="22.35" hidden="false" customHeight="false" outlineLevel="0" collapsed="false">
      <c r="A85" s="99" t="s">
        <v>174</v>
      </c>
      <c r="B85" s="81" t="s">
        <v>175</v>
      </c>
      <c r="C85" s="92" t="s">
        <v>171</v>
      </c>
      <c r="D85" s="117"/>
      <c r="E85" s="66" t="n">
        <v>12.57</v>
      </c>
      <c r="F85" s="94" t="n">
        <v>16.16</v>
      </c>
      <c r="G85" s="69" t="n">
        <v>12.35</v>
      </c>
      <c r="H85" s="70" t="n">
        <v>17.5</v>
      </c>
      <c r="I85" s="69"/>
      <c r="J85" s="71" t="n">
        <f aca="false">H85+D85-I85</f>
        <v>17.5</v>
      </c>
      <c r="K85" s="70" t="n">
        <v>0</v>
      </c>
      <c r="L85" s="72" t="n">
        <f aca="false">K85*G85</f>
        <v>0</v>
      </c>
      <c r="M85" s="73" t="n">
        <f aca="false">K85/J85</f>
        <v>0</v>
      </c>
      <c r="N85" s="93"/>
      <c r="O85" s="74" t="n">
        <f aca="false">N85*G85</f>
        <v>0</v>
      </c>
      <c r="P85" s="73" t="n">
        <f aca="false">N85/J85</f>
        <v>0</v>
      </c>
      <c r="Q85" s="75" t="n">
        <f aca="false">K85+N85</f>
        <v>0</v>
      </c>
      <c r="R85" s="76" t="n">
        <f aca="false">ROUND(SUM(L85+O85),2)</f>
        <v>0</v>
      </c>
      <c r="S85" s="77" t="n">
        <f aca="false">M85+P85</f>
        <v>0</v>
      </c>
      <c r="T85" s="85" t="s">
        <v>85</v>
      </c>
    </row>
    <row r="86" customFormat="false" ht="15.75" hidden="false" customHeight="true" outlineLevel="0" collapsed="false">
      <c r="A86" s="120" t="s">
        <v>176</v>
      </c>
      <c r="B86" s="120"/>
      <c r="C86" s="54"/>
      <c r="D86" s="55"/>
      <c r="E86" s="55"/>
      <c r="F86" s="55"/>
      <c r="G86" s="56"/>
      <c r="H86" s="121"/>
      <c r="I86" s="122"/>
      <c r="J86" s="123"/>
      <c r="K86" s="124"/>
      <c r="L86" s="125" t="n">
        <f aca="false">SUM(L21:L85)</f>
        <v>2520370.49066873</v>
      </c>
      <c r="M86" s="126"/>
      <c r="N86" s="124"/>
      <c r="O86" s="127" t="n">
        <f aca="false">SUM(O21:O85)</f>
        <v>101396.180032</v>
      </c>
      <c r="P86" s="126"/>
      <c r="Q86" s="128"/>
      <c r="R86" s="125" t="n">
        <f aca="false">ROUND(SUM(R21:R85),2)</f>
        <v>2621766.66</v>
      </c>
      <c r="S86" s="126"/>
    </row>
    <row r="87" customFormat="false" ht="13.8" hidden="false" customHeight="false" outlineLevel="0" collapsed="false">
      <c r="A87" s="129"/>
      <c r="B87" s="129"/>
      <c r="C87" s="129"/>
      <c r="D87" s="129"/>
      <c r="E87" s="129"/>
      <c r="F87" s="129"/>
      <c r="G87" s="129"/>
      <c r="H87" s="129"/>
      <c r="I87" s="129"/>
      <c r="J87" s="129"/>
      <c r="K87" s="129"/>
      <c r="L87" s="129"/>
      <c r="M87" s="129"/>
      <c r="N87" s="129"/>
      <c r="O87" s="129"/>
      <c r="P87" s="129"/>
      <c r="Q87" s="129"/>
      <c r="R87" s="129"/>
      <c r="S87" s="129"/>
    </row>
    <row r="88" customFormat="false" ht="15.75" hidden="false" customHeight="true" outlineLevel="0" collapsed="false">
      <c r="A88" s="130" t="s">
        <v>177</v>
      </c>
      <c r="B88" s="130"/>
      <c r="C88" s="131" t="n">
        <v>2266133.9</v>
      </c>
      <c r="D88" s="131"/>
      <c r="E88" s="132"/>
      <c r="F88" s="132"/>
      <c r="G88" s="132"/>
      <c r="H88" s="132"/>
      <c r="I88" s="132"/>
      <c r="J88" s="133" t="s">
        <v>178</v>
      </c>
      <c r="K88" s="133"/>
      <c r="L88" s="133"/>
      <c r="M88" s="133"/>
      <c r="N88" s="133"/>
      <c r="O88" s="134" t="s">
        <v>179</v>
      </c>
      <c r="P88" s="134"/>
      <c r="Q88" s="134"/>
      <c r="R88" s="134"/>
      <c r="S88" s="134"/>
      <c r="T88" s="2"/>
      <c r="U88" s="2"/>
      <c r="V88" s="2"/>
      <c r="W88" s="46"/>
    </row>
    <row r="89" customFormat="false" ht="16.5" hidden="false" customHeight="true" outlineLevel="0" collapsed="false">
      <c r="A89" s="130" t="s">
        <v>180</v>
      </c>
      <c r="B89" s="130"/>
      <c r="C89" s="131" t="n">
        <v>452651.74</v>
      </c>
      <c r="D89" s="131"/>
      <c r="E89" s="135"/>
      <c r="F89" s="135"/>
      <c r="G89" s="132"/>
      <c r="H89" s="132"/>
      <c r="I89" s="132"/>
      <c r="J89" s="136" t="s">
        <v>181</v>
      </c>
      <c r="K89" s="137" t="s">
        <v>29</v>
      </c>
      <c r="L89" s="137"/>
      <c r="M89" s="138" t="n">
        <f aca="false">O86/C90</f>
        <v>0.0372946577840539</v>
      </c>
      <c r="N89" s="138"/>
      <c r="O89" s="139" t="n">
        <f aca="false">N17</f>
        <v>101396.180032</v>
      </c>
      <c r="P89" s="139"/>
      <c r="Q89" s="140" t="n">
        <f aca="false">O86</f>
        <v>101396.180032</v>
      </c>
      <c r="R89" s="140"/>
      <c r="S89" s="140"/>
      <c r="T89" s="2"/>
      <c r="U89" s="2"/>
      <c r="V89" s="2"/>
      <c r="W89" s="46"/>
    </row>
    <row r="90" customFormat="false" ht="15" hidden="false" customHeight="true" outlineLevel="0" collapsed="false">
      <c r="A90" s="130" t="s">
        <v>182</v>
      </c>
      <c r="B90" s="130"/>
      <c r="C90" s="131" t="n">
        <f aca="false">C89+C88</f>
        <v>2718785.64</v>
      </c>
      <c r="D90" s="131"/>
      <c r="E90" s="141"/>
      <c r="F90" s="141"/>
      <c r="G90" s="132"/>
      <c r="H90" s="132"/>
      <c r="I90" s="132"/>
      <c r="J90" s="142" t="s">
        <v>183</v>
      </c>
      <c r="K90" s="142"/>
      <c r="L90" s="142"/>
      <c r="M90" s="143" t="n">
        <f aca="false">R86/C90</f>
        <v>0.964315325720199</v>
      </c>
      <c r="N90" s="143"/>
      <c r="O90" s="144" t="s">
        <v>184</v>
      </c>
      <c r="P90" s="144"/>
      <c r="Q90" s="145" t="n">
        <f aca="false">R86</f>
        <v>2621766.66</v>
      </c>
      <c r="R90" s="145"/>
      <c r="S90" s="145"/>
      <c r="T90" s="2"/>
      <c r="U90" s="2"/>
      <c r="V90" s="2"/>
      <c r="W90" s="46"/>
      <c r="X90" s="1"/>
      <c r="Y90" s="1"/>
      <c r="Z90" s="1"/>
      <c r="AA90" s="1"/>
      <c r="AB90" s="1"/>
    </row>
    <row r="91" customFormat="false" ht="15.75" hidden="false" customHeight="true" outlineLevel="0" collapsed="false">
      <c r="A91" s="146"/>
      <c r="B91" s="147"/>
      <c r="C91" s="147"/>
      <c r="D91" s="147"/>
      <c r="E91" s="141"/>
      <c r="F91" s="141"/>
      <c r="G91" s="132"/>
      <c r="H91" s="132"/>
      <c r="I91" s="132"/>
      <c r="J91" s="148" t="s">
        <v>185</v>
      </c>
      <c r="K91" s="148"/>
      <c r="L91" s="148"/>
      <c r="M91" s="149" t="n">
        <f aca="false">100%-M90</f>
        <v>0.0356846742798009</v>
      </c>
      <c r="N91" s="149"/>
      <c r="O91" s="150" t="s">
        <v>186</v>
      </c>
      <c r="P91" s="150"/>
      <c r="Q91" s="151" t="n">
        <f aca="false">C90-Q90</f>
        <v>97018.98</v>
      </c>
      <c r="R91" s="151"/>
      <c r="S91" s="151"/>
      <c r="T91" s="2"/>
      <c r="U91" s="2"/>
      <c r="V91" s="2"/>
      <c r="W91" s="46"/>
      <c r="X91" s="1"/>
      <c r="Y91" s="1"/>
      <c r="Z91" s="1"/>
      <c r="AA91" s="1"/>
      <c r="AB91" s="1"/>
    </row>
    <row r="92" customFormat="false" ht="13.8" hidden="false" customHeight="false" outlineLevel="0" collapsed="false">
      <c r="A92" s="146"/>
      <c r="B92" s="147"/>
      <c r="C92" s="147"/>
      <c r="D92" s="147"/>
      <c r="E92" s="141"/>
      <c r="F92" s="141"/>
      <c r="G92" s="132"/>
      <c r="H92" s="132"/>
      <c r="I92" s="132"/>
      <c r="J92" s="132"/>
      <c r="K92" s="152"/>
      <c r="L92" s="132"/>
      <c r="M92" s="132"/>
      <c r="N92" s="153"/>
      <c r="O92" s="154"/>
      <c r="P92" s="153"/>
      <c r="Q92" s="155"/>
      <c r="R92" s="156"/>
      <c r="S92" s="157"/>
      <c r="X92" s="1"/>
      <c r="Y92" s="1"/>
      <c r="Z92" s="1"/>
      <c r="AA92" s="1"/>
      <c r="AB92" s="1"/>
    </row>
    <row r="93" customFormat="false" ht="13.8" hidden="false" customHeight="false" outlineLevel="0" collapsed="false">
      <c r="A93" s="146"/>
      <c r="B93" s="147"/>
      <c r="C93" s="147"/>
      <c r="D93" s="147"/>
      <c r="E93" s="158"/>
      <c r="F93" s="158"/>
      <c r="G93" s="132"/>
      <c r="H93" s="132"/>
      <c r="I93" s="132"/>
      <c r="J93" s="132"/>
      <c r="K93" s="152"/>
      <c r="L93" s="132"/>
      <c r="M93" s="132"/>
      <c r="N93" s="153"/>
      <c r="O93" s="154"/>
      <c r="P93" s="153"/>
      <c r="Q93" s="155"/>
      <c r="R93" s="156"/>
      <c r="S93" s="157"/>
      <c r="U93" s="51"/>
      <c r="X93" s="1"/>
      <c r="Y93" s="1"/>
      <c r="Z93" s="1"/>
      <c r="AA93" s="1"/>
      <c r="AB93" s="1"/>
    </row>
    <row r="94" customFormat="false" ht="13.8" hidden="false" customHeight="false" outlineLevel="0" collapsed="false">
      <c r="A94" s="159"/>
      <c r="B94" s="147"/>
      <c r="C94" s="147"/>
      <c r="D94" s="147"/>
      <c r="E94" s="132"/>
      <c r="F94" s="132"/>
      <c r="G94" s="132"/>
      <c r="H94" s="132"/>
      <c r="I94" s="132"/>
      <c r="J94" s="132"/>
      <c r="K94" s="152"/>
      <c r="L94" s="132"/>
      <c r="M94" s="132"/>
      <c r="N94" s="153"/>
      <c r="O94" s="154"/>
      <c r="P94" s="153"/>
      <c r="Q94" s="155"/>
      <c r="R94" s="156"/>
      <c r="S94" s="157"/>
      <c r="U94" s="51"/>
    </row>
    <row r="95" s="2" customFormat="true" ht="15.75" hidden="false" customHeight="true" outlineLevel="0" collapsed="false">
      <c r="A95" s="159"/>
      <c r="B95" s="147"/>
      <c r="C95" s="147"/>
      <c r="D95" s="147"/>
      <c r="E95" s="132"/>
      <c r="F95" s="132"/>
      <c r="G95" s="160" t="s">
        <v>187</v>
      </c>
      <c r="H95" s="160"/>
      <c r="I95" s="160"/>
      <c r="J95" s="160"/>
      <c r="K95" s="160"/>
      <c r="L95" s="160"/>
      <c r="M95" s="160"/>
      <c r="N95" s="160"/>
      <c r="O95" s="154"/>
      <c r="P95" s="153"/>
      <c r="Q95" s="155"/>
      <c r="R95" s="156"/>
      <c r="S95" s="157"/>
      <c r="T95" s="1"/>
      <c r="U95" s="51"/>
      <c r="V95" s="1"/>
      <c r="W95" s="1"/>
      <c r="X95" s="1"/>
      <c r="Y95" s="1"/>
      <c r="Z95" s="1"/>
      <c r="AA95" s="1"/>
      <c r="AB95" s="1"/>
    </row>
    <row r="96" s="2" customFormat="true" ht="16.5" hidden="false" customHeight="true" outlineLevel="0" collapsed="false">
      <c r="A96" s="161"/>
      <c r="B96" s="162"/>
      <c r="C96" s="163"/>
      <c r="D96" s="164"/>
      <c r="E96" s="164"/>
      <c r="F96" s="164"/>
      <c r="G96" s="165" t="s">
        <v>188</v>
      </c>
      <c r="H96" s="165"/>
      <c r="I96" s="165"/>
      <c r="J96" s="165"/>
      <c r="K96" s="165"/>
      <c r="L96" s="165"/>
      <c r="M96" s="165"/>
      <c r="N96" s="165"/>
      <c r="O96" s="166"/>
      <c r="P96" s="167"/>
      <c r="Q96" s="168"/>
      <c r="R96" s="169"/>
      <c r="S96" s="170"/>
      <c r="T96" s="1"/>
      <c r="U96" s="51"/>
      <c r="V96" s="1"/>
      <c r="W96" s="1"/>
      <c r="X96" s="1"/>
      <c r="Y96" s="1"/>
      <c r="Z96" s="1"/>
      <c r="AA96" s="1"/>
      <c r="AB96" s="1"/>
    </row>
    <row r="97" s="2" customFormat="true" ht="13.8" hidden="false" customHeight="false" outlineLevel="0" collapsed="false">
      <c r="A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="2" customFormat="true" ht="13.8" hidden="false" customHeight="false" outlineLevel="0" collapsed="false">
      <c r="A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customFormat="false" ht="13.8" hidden="false" customHeight="false" outlineLevel="0" collapsed="false">
      <c r="Q99" s="1" t="n">
        <v>2</v>
      </c>
    </row>
    <row r="100" customFormat="false" ht="13.8" hidden="false" customHeight="false" outlineLevel="0" collapsed="false">
      <c r="B100" s="171" t="s">
        <v>189</v>
      </c>
      <c r="C100" s="172" t="s">
        <v>190</v>
      </c>
      <c r="D100" s="172"/>
      <c r="E100" s="172"/>
      <c r="F100" s="173"/>
      <c r="Q100" s="1" t="n">
        <v>2</v>
      </c>
    </row>
    <row r="101" customFormat="false" ht="13.8" hidden="false" customHeight="false" outlineLevel="0" collapsed="false">
      <c r="B101" s="174" t="s">
        <v>191</v>
      </c>
      <c r="C101" s="175" t="n">
        <v>44136</v>
      </c>
      <c r="D101" s="176" t="n">
        <v>44440</v>
      </c>
      <c r="E101" s="176" t="s">
        <v>192</v>
      </c>
      <c r="F101" s="177"/>
      <c r="Q101" s="1" t="n">
        <v>2</v>
      </c>
    </row>
    <row r="102" customFormat="false" ht="13.8" hidden="false" customHeight="false" outlineLevel="0" collapsed="false">
      <c r="B102" s="178" t="s">
        <v>193</v>
      </c>
      <c r="C102" s="178" t="n">
        <v>331.622</v>
      </c>
      <c r="D102" s="179" t="n">
        <v>383.886</v>
      </c>
      <c r="E102" s="179" t="n">
        <v>1.157</v>
      </c>
      <c r="F102" s="180"/>
      <c r="Q102" s="1" t="n">
        <v>1</v>
      </c>
    </row>
    <row r="103" customFormat="false" ht="13.8" hidden="false" customHeight="false" outlineLevel="0" collapsed="false">
      <c r="B103" s="178" t="s">
        <v>194</v>
      </c>
      <c r="C103" s="178" t="n">
        <v>337.878</v>
      </c>
      <c r="D103" s="179" t="n">
        <v>383.705</v>
      </c>
      <c r="E103" s="179" t="n">
        <v>1.135</v>
      </c>
      <c r="F103" s="180"/>
      <c r="Q103" s="1" t="n">
        <v>15</v>
      </c>
    </row>
    <row r="104" customFormat="false" ht="13.8" hidden="false" customHeight="false" outlineLevel="0" collapsed="false">
      <c r="B104" s="178" t="s">
        <v>195</v>
      </c>
      <c r="C104" s="178" t="n">
        <v>341.549</v>
      </c>
      <c r="D104" s="179" t="n">
        <v>388.807</v>
      </c>
      <c r="E104" s="179" t="n">
        <v>1.138</v>
      </c>
      <c r="F104" s="180"/>
      <c r="Q104" s="1" t="n">
        <v>15</v>
      </c>
    </row>
    <row r="105" customFormat="false" ht="13.8" hidden="false" customHeight="false" outlineLevel="0" collapsed="false">
      <c r="B105" s="178" t="s">
        <v>196</v>
      </c>
      <c r="C105" s="178" t="n">
        <v>352.251</v>
      </c>
      <c r="D105" s="179" t="n">
        <v>421.46</v>
      </c>
      <c r="E105" s="179" t="n">
        <v>1.196</v>
      </c>
      <c r="F105" s="180"/>
      <c r="Q105" s="1" t="n">
        <v>24</v>
      </c>
    </row>
    <row r="106" customFormat="false" ht="13.8" hidden="false" customHeight="false" outlineLevel="0" collapsed="false">
      <c r="B106" s="178" t="s">
        <v>197</v>
      </c>
      <c r="C106" s="178" t="n">
        <v>204.278</v>
      </c>
      <c r="D106" s="179" t="n">
        <v>237.55</v>
      </c>
      <c r="E106" s="179" t="n">
        <v>1.162</v>
      </c>
      <c r="F106" s="180"/>
    </row>
    <row r="107" customFormat="false" ht="13.8" hidden="false" customHeight="false" outlineLevel="0" collapsed="false">
      <c r="B107" s="178" t="s">
        <v>198</v>
      </c>
      <c r="C107" s="178" t="n">
        <v>118.205</v>
      </c>
      <c r="D107" s="179" t="n">
        <v>138.337</v>
      </c>
      <c r="E107" s="179" t="n">
        <v>1.17</v>
      </c>
      <c r="F107" s="180"/>
      <c r="Q107" s="1" t="n">
        <v>1865</v>
      </c>
    </row>
    <row r="108" customFormat="false" ht="13.8" hidden="false" customHeight="false" outlineLevel="0" collapsed="false">
      <c r="B108" s="181" t="s">
        <v>199</v>
      </c>
      <c r="C108" s="181"/>
      <c r="D108" s="180"/>
      <c r="E108" s="180"/>
      <c r="F108" s="180"/>
      <c r="Q108" s="1" t="n">
        <v>2070</v>
      </c>
    </row>
    <row r="109" customFormat="false" ht="13.8" hidden="false" customHeight="false" outlineLevel="0" collapsed="false">
      <c r="B109" s="182"/>
      <c r="C109" s="67"/>
      <c r="D109" s="183"/>
      <c r="E109" s="184"/>
      <c r="F109" s="184"/>
      <c r="Q109" s="1" t="n">
        <v>221.28</v>
      </c>
    </row>
    <row r="110" customFormat="false" ht="13.8" hidden="false" customHeight="false" outlineLevel="0" collapsed="false">
      <c r="B110" s="185" t="s">
        <v>191</v>
      </c>
      <c r="C110" s="186" t="n">
        <v>44287</v>
      </c>
      <c r="D110" s="186" t="n">
        <v>44440</v>
      </c>
      <c r="E110" s="176" t="s">
        <v>192</v>
      </c>
      <c r="F110" s="177"/>
      <c r="Q110" s="1" t="n">
        <v>72.96</v>
      </c>
    </row>
    <row r="111" customFormat="false" ht="13.8" hidden="false" customHeight="false" outlineLevel="0" collapsed="false">
      <c r="B111" s="178" t="s">
        <v>196</v>
      </c>
      <c r="C111" s="187" t="n">
        <v>388.657</v>
      </c>
      <c r="D111" s="179" t="n">
        <v>421.46</v>
      </c>
      <c r="E111" s="179" t="n">
        <f aca="false">TRUNC(D111/C111,3)</f>
        <v>1.084</v>
      </c>
      <c r="F111" s="180"/>
      <c r="Q111" s="1" t="n">
        <v>72.96</v>
      </c>
    </row>
    <row r="112" customFormat="false" ht="13.8" hidden="false" customHeight="false" outlineLevel="0" collapsed="false">
      <c r="Q112" s="1" t="n">
        <v>1865.5977</v>
      </c>
    </row>
    <row r="113" customFormat="false" ht="13.8" hidden="false" customHeight="false" outlineLevel="0" collapsed="false">
      <c r="Q113" s="1" t="n">
        <v>0</v>
      </c>
    </row>
    <row r="114" customFormat="false" ht="13.8" hidden="false" customHeight="false" outlineLevel="0" collapsed="false">
      <c r="Q114" s="1" t="n">
        <v>0</v>
      </c>
    </row>
    <row r="115" customFormat="false" ht="13.8" hidden="false" customHeight="false" outlineLevel="0" collapsed="false">
      <c r="Q115" s="1" t="n">
        <v>0</v>
      </c>
    </row>
    <row r="116" customFormat="false" ht="13.8" hidden="false" customHeight="false" outlineLevel="0" collapsed="false">
      <c r="Q116" s="1" t="n">
        <v>0</v>
      </c>
    </row>
    <row r="117" customFormat="false" ht="13.8" hidden="false" customHeight="false" outlineLevel="0" collapsed="false">
      <c r="Q117" s="1" t="n">
        <v>0</v>
      </c>
    </row>
    <row r="118" customFormat="false" ht="13.8" hidden="false" customHeight="true" outlineLevel="0" collapsed="false">
      <c r="B118" s="188" t="s">
        <v>200</v>
      </c>
      <c r="C118" s="188"/>
      <c r="D118" s="188"/>
    </row>
    <row r="119" customFormat="false" ht="13.8" hidden="false" customHeight="false" outlineLevel="0" collapsed="false">
      <c r="B119" s="188"/>
      <c r="C119" s="188"/>
      <c r="D119" s="188"/>
      <c r="Q119" s="1" t="n">
        <v>0</v>
      </c>
    </row>
    <row r="120" customFormat="false" ht="13.8" hidden="false" customHeight="false" outlineLevel="0" collapsed="false">
      <c r="B120" s="188"/>
      <c r="C120" s="188"/>
      <c r="D120" s="188"/>
      <c r="Q120" s="1" t="n">
        <v>0</v>
      </c>
    </row>
    <row r="121" customFormat="false" ht="13.8" hidden="false" customHeight="false" outlineLevel="0" collapsed="false">
      <c r="B121" s="188"/>
      <c r="C121" s="188"/>
      <c r="D121" s="188"/>
      <c r="Q121" s="1" t="n">
        <v>0</v>
      </c>
    </row>
    <row r="122" customFormat="false" ht="13.8" hidden="false" customHeight="false" outlineLevel="0" collapsed="false">
      <c r="B122" s="188"/>
      <c r="C122" s="188"/>
      <c r="D122" s="188"/>
      <c r="Q122" s="1" t="n">
        <v>0</v>
      </c>
    </row>
    <row r="123" customFormat="false" ht="13.8" hidden="false" customHeight="false" outlineLevel="0" collapsed="false">
      <c r="Q123" s="1" t="n">
        <v>0</v>
      </c>
    </row>
    <row r="124" customFormat="false" ht="13.8" hidden="false" customHeight="false" outlineLevel="0" collapsed="false">
      <c r="Q124" s="1" t="n">
        <v>0</v>
      </c>
    </row>
    <row r="125" customFormat="false" ht="13.8" hidden="false" customHeight="false" outlineLevel="0" collapsed="false">
      <c r="Q125" s="1" t="n">
        <v>0</v>
      </c>
    </row>
    <row r="126" customFormat="false" ht="13.8" hidden="false" customHeight="false" outlineLevel="0" collapsed="false">
      <c r="Q126" s="1" t="n">
        <v>0</v>
      </c>
    </row>
    <row r="127" customFormat="false" ht="13.8" hidden="false" customHeight="false" outlineLevel="0" collapsed="false">
      <c r="Q127" s="1" t="n">
        <v>0</v>
      </c>
    </row>
    <row r="128" customFormat="false" ht="13.8" hidden="false" customHeight="false" outlineLevel="0" collapsed="false">
      <c r="Q128" s="1" t="n">
        <v>0</v>
      </c>
    </row>
    <row r="129" customFormat="false" ht="13.8" hidden="false" customHeight="false" outlineLevel="0" collapsed="false">
      <c r="Q129" s="1" t="n">
        <v>0</v>
      </c>
    </row>
    <row r="130" customFormat="false" ht="13.8" hidden="false" customHeight="false" outlineLevel="0" collapsed="false">
      <c r="Q130" s="1" t="n">
        <v>0</v>
      </c>
    </row>
    <row r="132" customFormat="false" ht="13.8" hidden="false" customHeight="false" outlineLevel="0" collapsed="false">
      <c r="Q132" s="1" t="n">
        <v>8</v>
      </c>
    </row>
    <row r="133" customFormat="false" ht="13.8" hidden="false" customHeight="false" outlineLevel="0" collapsed="false">
      <c r="Q133" s="1" t="n">
        <v>340</v>
      </c>
    </row>
    <row r="134" customFormat="false" ht="13.8" hidden="false" customHeight="false" outlineLevel="0" collapsed="false">
      <c r="Q134" s="1" t="n">
        <v>0</v>
      </c>
    </row>
    <row r="136" customFormat="false" ht="13.8" hidden="false" customHeight="false" outlineLevel="0" collapsed="false">
      <c r="Q136" s="1" t="n">
        <v>0</v>
      </c>
    </row>
    <row r="137" customFormat="false" ht="13.8" hidden="false" customHeight="false" outlineLevel="0" collapsed="false">
      <c r="Q137" s="1" t="n">
        <v>0</v>
      </c>
    </row>
    <row r="138" customFormat="false" ht="13.8" hidden="false" customHeight="false" outlineLevel="0" collapsed="false">
      <c r="Q138" s="1" t="n">
        <v>0</v>
      </c>
    </row>
    <row r="139" customFormat="false" ht="13.8" hidden="false" customHeight="false" outlineLevel="0" collapsed="false">
      <c r="Q139" s="1" t="n">
        <v>0</v>
      </c>
    </row>
    <row r="140" customFormat="false" ht="13.8" hidden="false" customHeight="false" outlineLevel="0" collapsed="false">
      <c r="Q140" s="1" t="n">
        <v>0</v>
      </c>
    </row>
    <row r="141" customFormat="false" ht="13.8" hidden="false" customHeight="false" outlineLevel="0" collapsed="false">
      <c r="Q141" s="1" t="n">
        <v>0</v>
      </c>
    </row>
    <row r="142" customFormat="false" ht="13.8" hidden="false" customHeight="false" outlineLevel="0" collapsed="false">
      <c r="Q142" s="1" t="n">
        <v>0</v>
      </c>
    </row>
    <row r="144" customFormat="false" ht="13.8" hidden="false" customHeight="false" outlineLevel="0" collapsed="false">
      <c r="Q144" s="1" t="n">
        <v>0</v>
      </c>
    </row>
    <row r="145" customFormat="false" ht="13.8" hidden="false" customHeight="false" outlineLevel="0" collapsed="false">
      <c r="Q145" s="1" t="n">
        <v>0</v>
      </c>
    </row>
    <row r="146" customFormat="false" ht="13.8" hidden="false" customHeight="false" outlineLevel="0" collapsed="false">
      <c r="Q146" s="1" t="n">
        <v>0</v>
      </c>
    </row>
    <row r="147" customFormat="false" ht="13.8" hidden="false" customHeight="false" outlineLevel="0" collapsed="false">
      <c r="Q147" s="1" t="n">
        <v>0</v>
      </c>
    </row>
    <row r="148" customFormat="false" ht="13.8" hidden="false" customHeight="false" outlineLevel="0" collapsed="false">
      <c r="Q148" s="1" t="n">
        <v>0</v>
      </c>
    </row>
    <row r="149" customFormat="false" ht="13.8" hidden="false" customHeight="false" outlineLevel="0" collapsed="false">
      <c r="Q149" s="1" t="n">
        <v>0</v>
      </c>
    </row>
    <row r="150" customFormat="false" ht="13.8" hidden="false" customHeight="false" outlineLevel="0" collapsed="false">
      <c r="Q150" s="1" t="n">
        <v>0</v>
      </c>
    </row>
    <row r="151" customFormat="false" ht="13.8" hidden="false" customHeight="false" outlineLevel="0" collapsed="false">
      <c r="Q151" s="1" t="n">
        <v>0</v>
      </c>
    </row>
    <row r="152" customFormat="false" ht="13.8" hidden="false" customHeight="false" outlineLevel="0" collapsed="false">
      <c r="Q152" s="1" t="n">
        <v>0</v>
      </c>
    </row>
    <row r="153" customFormat="false" ht="13.8" hidden="false" customHeight="false" outlineLevel="0" collapsed="false">
      <c r="Q153" s="1" t="n">
        <v>0</v>
      </c>
    </row>
    <row r="154" customFormat="false" ht="13.8" hidden="false" customHeight="false" outlineLevel="0" collapsed="false">
      <c r="Q154" s="1" t="n">
        <v>0</v>
      </c>
    </row>
    <row r="155" customFormat="false" ht="13.8" hidden="false" customHeight="false" outlineLevel="0" collapsed="false">
      <c r="Q155" s="1" t="n">
        <v>0</v>
      </c>
    </row>
    <row r="156" customFormat="false" ht="13.8" hidden="false" customHeight="false" outlineLevel="0" collapsed="false">
      <c r="Q156" s="1" t="n">
        <v>0</v>
      </c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1">
    <mergeCell ref="A1:S11"/>
    <mergeCell ref="A12:O13"/>
    <mergeCell ref="P12:S13"/>
    <mergeCell ref="A14:C15"/>
    <mergeCell ref="D14:G15"/>
    <mergeCell ref="H14:L15"/>
    <mergeCell ref="M14:O15"/>
    <mergeCell ref="P14:Q14"/>
    <mergeCell ref="R14:S14"/>
    <mergeCell ref="P15:Q15"/>
    <mergeCell ref="R15:S15"/>
    <mergeCell ref="A16:G16"/>
    <mergeCell ref="H16:J16"/>
    <mergeCell ref="K16:L16"/>
    <mergeCell ref="N16:O16"/>
    <mergeCell ref="P16:Q16"/>
    <mergeCell ref="R16:S16"/>
    <mergeCell ref="A17:G17"/>
    <mergeCell ref="H17:J17"/>
    <mergeCell ref="K17:M17"/>
    <mergeCell ref="N17:O17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J18:J19"/>
    <mergeCell ref="K18:M18"/>
    <mergeCell ref="N18:P18"/>
    <mergeCell ref="Q18:S18"/>
    <mergeCell ref="A86:B86"/>
    <mergeCell ref="A87:S87"/>
    <mergeCell ref="A88:B88"/>
    <mergeCell ref="C88:D88"/>
    <mergeCell ref="J88:N88"/>
    <mergeCell ref="O88:S88"/>
    <mergeCell ref="A89:B89"/>
    <mergeCell ref="C89:D89"/>
    <mergeCell ref="K89:L89"/>
    <mergeCell ref="M89:N89"/>
    <mergeCell ref="O89:P89"/>
    <mergeCell ref="Q89:S89"/>
    <mergeCell ref="A90:B90"/>
    <mergeCell ref="C90:D90"/>
    <mergeCell ref="J90:L90"/>
    <mergeCell ref="M90:N90"/>
    <mergeCell ref="O90:P90"/>
    <mergeCell ref="Q90:S90"/>
    <mergeCell ref="B91:D95"/>
    <mergeCell ref="J91:L91"/>
    <mergeCell ref="M91:N91"/>
    <mergeCell ref="O91:P91"/>
    <mergeCell ref="Q91:S91"/>
    <mergeCell ref="G95:N95"/>
    <mergeCell ref="G96:N96"/>
    <mergeCell ref="C100:E100"/>
    <mergeCell ref="B118:D122"/>
  </mergeCells>
  <conditionalFormatting sqref="S21:S1517">
    <cfRule type="cellIs" priority="2" operator="equal" aboveAverage="0" equalAverage="0" bottom="0" percent="0" rank="0" text="" dxfId="0">
      <formula>1</formula>
    </cfRule>
  </conditionalFormatting>
  <conditionalFormatting sqref="S21:S1517">
    <cfRule type="cellIs" priority="3" operator="greaterThan" aboveAverage="0" equalAverage="0" bottom="0" percent="0" rank="0" text="" dxfId="1">
      <formula>1</formula>
    </cfRule>
  </conditionalFormatting>
  <conditionalFormatting sqref="S21:S85">
    <cfRule type="cellIs" priority="4" operator="between" aboveAverage="0" equalAverage="0" bottom="0" percent="0" rank="0" text="" dxfId="0">
      <formula>0.9</formula>
      <formula>1</formula>
    </cfRule>
  </conditionalFormatting>
  <printOptions headings="false" gridLines="false" gridLinesSet="true" horizontalCentered="true" verticalCentered="false"/>
  <pageMargins left="0.511805555555556" right="0.511805555555556" top="0.254166666666667" bottom="0.771527777777778" header="0.511811023622047" footer="0.438194444444444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29665-000  Telefax (027) 3729-1300  CNPJ (MF) 01.612.865/0001-71  So Roque do Cana  ES</oddFooter>
  </headerFooter>
  <rowBreaks count="1" manualBreakCount="1">
    <brk id="5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B33" activeCellId="0" sqref="B3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89"/>
      <c r="B2" s="190" t="s">
        <v>201</v>
      </c>
      <c r="C2" s="190"/>
      <c r="D2" s="190"/>
      <c r="E2" s="190"/>
    </row>
    <row r="3" customFormat="false" ht="13.8" hidden="false" customHeight="false" outlineLevel="0" collapsed="false">
      <c r="B3" s="190"/>
      <c r="C3" s="190"/>
      <c r="D3" s="190"/>
      <c r="E3" s="190"/>
    </row>
    <row r="4" customFormat="false" ht="13.8" hidden="false" customHeight="false" outlineLevel="0" collapsed="false">
      <c r="B4" s="190"/>
      <c r="C4" s="190"/>
      <c r="D4" s="190"/>
      <c r="E4" s="190"/>
    </row>
    <row r="5" customFormat="false" ht="13.8" hidden="false" customHeight="false" outlineLevel="0" collapsed="false">
      <c r="B5" s="190"/>
      <c r="C5" s="190"/>
      <c r="D5" s="190"/>
      <c r="E5" s="190"/>
    </row>
    <row r="6" customFormat="false" ht="13.8" hidden="false" customHeight="false" outlineLevel="0" collapsed="false">
      <c r="B6" s="190"/>
      <c r="C6" s="190"/>
      <c r="D6" s="190"/>
      <c r="E6" s="190"/>
    </row>
    <row r="7" customFormat="false" ht="26.1" hidden="false" customHeight="true" outlineLevel="0" collapsed="false">
      <c r="B7" s="190"/>
      <c r="C7" s="190"/>
      <c r="D7" s="190"/>
      <c r="E7" s="190"/>
    </row>
    <row r="8" customFormat="false" ht="15.75" hidden="false" customHeight="true" outlineLevel="0" collapsed="false">
      <c r="B8" s="191" t="s">
        <v>202</v>
      </c>
      <c r="C8" s="191"/>
      <c r="D8" s="191"/>
      <c r="E8" s="191"/>
    </row>
    <row r="9" customFormat="false" ht="31.5" hidden="false" customHeight="true" outlineLevel="0" collapsed="false">
      <c r="B9" s="192" t="s">
        <v>203</v>
      </c>
      <c r="C9" s="192"/>
      <c r="D9" s="193" t="s">
        <v>204</v>
      </c>
      <c r="E9" s="193"/>
    </row>
    <row r="10" customFormat="false" ht="42" hidden="false" customHeight="true" outlineLevel="0" collapsed="false">
      <c r="B10" s="192" t="s">
        <v>205</v>
      </c>
      <c r="C10" s="192"/>
      <c r="D10" s="193"/>
      <c r="E10" s="193"/>
    </row>
    <row r="11" customFormat="false" ht="15" hidden="false" customHeight="false" outlineLevel="0" collapsed="false">
      <c r="B11" s="194" t="s">
        <v>206</v>
      </c>
      <c r="C11" s="195" t="s">
        <v>207</v>
      </c>
      <c r="D11" s="195" t="s">
        <v>208</v>
      </c>
      <c r="E11" s="196" t="s">
        <v>209</v>
      </c>
    </row>
    <row r="12" customFormat="false" ht="15" hidden="false" customHeight="false" outlineLevel="0" collapsed="false">
      <c r="B12" s="197" t="s">
        <v>32</v>
      </c>
      <c r="C12" s="198" t="str">
        <f aca="false">VLOOKUP(B12,'MEDIÇÃO 9'!$A$20:$C$85,2,0)</f>
        <v>CANTEIRO DE OBRAS</v>
      </c>
      <c r="D12" s="199"/>
      <c r="E12" s="200"/>
    </row>
    <row r="13" customFormat="false" ht="15" hidden="false" customHeight="false" outlineLevel="0" collapsed="false">
      <c r="B13" s="201" t="s">
        <v>34</v>
      </c>
      <c r="C13" s="202" t="str">
        <f aca="false">VLOOKUP(B13,'MEDIÇÃO 9'!$A$20:$C$85,2,0)</f>
        <v>Aluguel de container para almoxarifado</v>
      </c>
      <c r="D13" s="203" t="str">
        <f aca="false">VLOOKUP(B13,'MEDIÇÃO 9'!A20:C85,3,0)</f>
        <v>mês</v>
      </c>
      <c r="E13" s="204" t="n">
        <v>1</v>
      </c>
    </row>
    <row r="14" customFormat="false" ht="15.75" hidden="false" customHeight="true" outlineLevel="0" collapsed="false">
      <c r="B14" s="205" t="s">
        <v>210</v>
      </c>
      <c r="C14" s="205"/>
      <c r="D14" s="203"/>
      <c r="E14" s="204"/>
    </row>
    <row r="15" customFormat="false" ht="26.85" hidden="false" customHeight="false" outlineLevel="0" collapsed="false">
      <c r="B15" s="201" t="s">
        <v>37</v>
      </c>
      <c r="C15" s="202" t="str">
        <f aca="false">VLOOKUP(B15,'MEDIÇÃO 9'!$A$20:$C$85,2,0)</f>
        <v>Aluguel de container p/ escritório c/ ar condicionado e banheiro,isolam.térmico e acústico, 2 luminárias, janela de vidro, tomada p/ comput. E telef.</v>
      </c>
      <c r="D15" s="206" t="str">
        <f aca="false">VLOOKUP(B15,'MEDIÇÃO 9'!$A$20:$C$85,3,0)</f>
        <v>mês</v>
      </c>
      <c r="E15" s="207" t="n">
        <v>1</v>
      </c>
    </row>
    <row r="16" customFormat="false" ht="15.75" hidden="false" customHeight="true" outlineLevel="0" collapsed="false">
      <c r="B16" s="205" t="s">
        <v>210</v>
      </c>
      <c r="C16" s="205"/>
      <c r="D16" s="206"/>
      <c r="E16" s="207"/>
    </row>
    <row r="17" customFormat="false" ht="26.85" hidden="false" customHeight="false" outlineLevel="0" collapsed="false">
      <c r="B17" s="201" t="s">
        <v>39</v>
      </c>
      <c r="C17" s="202" t="str">
        <f aca="false">VLOOKUP(B17,'MEDIÇÃO 9'!$A$20:$C$85,2,0)</f>
        <v>Aluguel de container tipo refeitório (2 unidades acopladas), c/ 2 aparelhos de ar condicionado, 4 lumináriase 4 janelas de vidro</v>
      </c>
      <c r="D17" s="206" t="str">
        <f aca="false">VLOOKUP(B17,'MEDIÇÃO 9'!$A$20:$C$85,3,0)</f>
        <v>mês</v>
      </c>
      <c r="E17" s="207" t="n">
        <v>1</v>
      </c>
    </row>
    <row r="18" customFormat="false" ht="15.75" hidden="false" customHeight="true" outlineLevel="0" collapsed="false">
      <c r="B18" s="205" t="s">
        <v>210</v>
      </c>
      <c r="C18" s="205"/>
      <c r="D18" s="206"/>
      <c r="E18" s="207"/>
    </row>
    <row r="19" customFormat="false" ht="26.85" hidden="false" customHeight="false" outlineLevel="0" collapsed="false">
      <c r="B19" s="201" t="s">
        <v>41</v>
      </c>
      <c r="C19" s="202" t="str">
        <f aca="false">VLOOKUP(B19,'MEDIÇÃO 9'!$A$20:$C$85,2,0)</f>
        <v>Aluguel de container tipo sanitário com 3 vasos sanitários, lavatório, mictório, 5 chuveiros, 2 venezianas e piso especial</v>
      </c>
      <c r="D19" s="206" t="str">
        <f aca="false">VLOOKUP(B19,'MEDIÇÃO 9'!$A$20:$C$85,3,0)</f>
        <v>mês</v>
      </c>
      <c r="E19" s="207" t="n">
        <v>1</v>
      </c>
    </row>
    <row r="20" customFormat="false" ht="15.75" hidden="false" customHeight="true" outlineLevel="0" collapsed="false">
      <c r="B20" s="205" t="s">
        <v>210</v>
      </c>
      <c r="C20" s="205"/>
      <c r="D20" s="206"/>
      <c r="E20" s="207"/>
    </row>
    <row r="21" customFormat="false" ht="15.75" hidden="false" customHeight="true" outlineLevel="0" collapsed="false">
      <c r="B21" s="208"/>
      <c r="C21" s="208"/>
      <c r="D21" s="208"/>
      <c r="E21" s="208"/>
    </row>
    <row r="22" customFormat="false" ht="15" hidden="false" customHeight="false" outlineLevel="0" collapsed="false">
      <c r="B22" s="197" t="s">
        <v>81</v>
      </c>
      <c r="C22" s="198" t="str">
        <f aca="false">VLOOKUP(B22,'MEDIÇÃO 9'!$A$20:$C$85,2,0)</f>
        <v>DRENAGEM</v>
      </c>
      <c r="D22" s="199"/>
      <c r="E22" s="200"/>
    </row>
    <row r="23" s="96" customFormat="true" ht="19.5" hidden="false" customHeight="true" outlineLevel="0" collapsed="false">
      <c r="B23" s="201" t="s">
        <v>83</v>
      </c>
      <c r="C23" s="202" t="str">
        <f aca="false">VLOOKUP(B23,'MEDIÇÃO 9'!$A$20:$C$85,2,0)</f>
        <v>Religação de rede de água em PVC DN 25mm,inclusive conexões</v>
      </c>
      <c r="D23" s="203" t="str">
        <f aca="false">VLOOKUP(B23,'MEDIÇÃO 9'!A30:C95,3,0)</f>
        <v>m</v>
      </c>
      <c r="E23" s="204" t="n">
        <v>20</v>
      </c>
    </row>
    <row r="24" s="96" customFormat="true" ht="15.75" hidden="false" customHeight="true" outlineLevel="0" collapsed="false">
      <c r="B24" s="205" t="s">
        <v>211</v>
      </c>
      <c r="C24" s="205"/>
      <c r="D24" s="203"/>
      <c r="E24" s="204"/>
    </row>
    <row r="25" s="96" customFormat="true" ht="15.75" hidden="false" customHeight="true" outlineLevel="0" collapsed="false">
      <c r="B25" s="201" t="s">
        <v>86</v>
      </c>
      <c r="C25" s="202" t="str">
        <f aca="false">VLOOKUP(B25,'MEDIÇÃO 9'!$A$20:$C$85,2,0)</f>
        <v>Tubo PVC rígido para esgoto no diâmetro de 200mm incluindo escavação e aterro com areia</v>
      </c>
      <c r="D25" s="206" t="str">
        <f aca="false">VLOOKUP(B25,'MEDIÇÃO 9'!$A$20:$C$85,3,0)</f>
        <v>m</v>
      </c>
      <c r="E25" s="207" t="n">
        <v>30</v>
      </c>
    </row>
    <row r="26" s="96" customFormat="true" ht="15.75" hidden="false" customHeight="true" outlineLevel="0" collapsed="false">
      <c r="B26" s="209" t="s">
        <v>212</v>
      </c>
      <c r="C26" s="209"/>
      <c r="D26" s="206"/>
      <c r="E26" s="207"/>
    </row>
    <row r="27" s="96" customFormat="true" ht="15.75" hidden="false" customHeight="true" outlineLevel="0" collapsed="false">
      <c r="B27" s="201" t="s">
        <v>90</v>
      </c>
      <c r="C27" s="202" t="str">
        <f aca="false">VLOOKUP(B27,'MEDIÇÃO 9'!$A$20:$C$85,2,0)</f>
        <v>Caixa coletora em bloco pré-moldado para d-&gt;0,60m (1,00 x 1,00m)</v>
      </c>
      <c r="D27" s="206" t="str">
        <f aca="false">VLOOKUP(B27,'MEDIÇÃO 9'!$A$20:$C$85,3,0)</f>
        <v>Ud</v>
      </c>
      <c r="E27" s="207" t="n">
        <v>2</v>
      </c>
    </row>
    <row r="28" s="96" customFormat="true" ht="15.75" hidden="false" customHeight="true" outlineLevel="0" collapsed="false">
      <c r="B28" s="209" t="s">
        <v>213</v>
      </c>
      <c r="C28" s="209"/>
      <c r="D28" s="206"/>
      <c r="E28" s="207"/>
    </row>
    <row r="29" s="96" customFormat="true" ht="15.75" hidden="false" customHeight="true" outlineLevel="0" collapsed="false">
      <c r="B29" s="201" t="s">
        <v>93</v>
      </c>
      <c r="C29" s="202" t="str">
        <f aca="false">VLOOKUP(B29,'MEDIÇÃO 9'!$A$20:$C$85,2,0)</f>
        <v>Tampa de concreto em grelha, fornecimento, assentamento e transporte</v>
      </c>
      <c r="D29" s="206" t="str">
        <f aca="false">VLOOKUP(B29,'MEDIÇÃO 9'!$A$20:$C$85,3,0)</f>
        <v>Ud</v>
      </c>
      <c r="E29" s="207" t="n">
        <v>2</v>
      </c>
    </row>
    <row r="30" s="96" customFormat="true" ht="15.75" hidden="false" customHeight="true" outlineLevel="0" collapsed="false">
      <c r="B30" s="209" t="s">
        <v>213</v>
      </c>
      <c r="C30" s="209"/>
      <c r="D30" s="206"/>
      <c r="E30" s="207"/>
    </row>
    <row r="31" s="96" customFormat="true" ht="15.75" hidden="false" customHeight="true" outlineLevel="0" collapsed="false">
      <c r="B31" s="201" t="s">
        <v>95</v>
      </c>
      <c r="C31" s="202" t="str">
        <f aca="false">VLOOKUP(B31,'MEDIÇÃO 9'!$A$20:$C$85,2,0)</f>
        <v>Eletroduto de PVC diâmetro de 4", fornecimento e instalação</v>
      </c>
      <c r="D31" s="206" t="str">
        <f aca="false">VLOOKUP(B31,'MEDIÇÃO 9'!$A$20:$C$85,3,0)</f>
        <v>m</v>
      </c>
      <c r="E31" s="207" t="n">
        <v>20</v>
      </c>
    </row>
    <row r="32" s="96" customFormat="true" ht="15.75" hidden="false" customHeight="true" outlineLevel="0" collapsed="false">
      <c r="B32" s="209" t="s">
        <v>211</v>
      </c>
      <c r="C32" s="209"/>
      <c r="D32" s="206"/>
      <c r="E32" s="207"/>
    </row>
    <row r="33" s="96" customFormat="true" ht="15.75" hidden="false" customHeight="true" outlineLevel="0" collapsed="false">
      <c r="B33" s="208"/>
      <c r="C33" s="208"/>
      <c r="D33" s="208"/>
      <c r="E33" s="208"/>
    </row>
    <row r="34" s="96" customFormat="true" ht="15.75" hidden="false" customHeight="true" outlineLevel="0" collapsed="false">
      <c r="B34" s="197" t="s">
        <v>117</v>
      </c>
      <c r="C34" s="198" t="str">
        <f aca="false">VLOOKUP(B34,'MEDIÇÃO 9'!$A$20:$C$85,2,0)</f>
        <v>SOLO GRAMPEADO</v>
      </c>
      <c r="D34" s="199"/>
      <c r="E34" s="200"/>
    </row>
    <row r="35" s="96" customFormat="true" ht="15" hidden="false" customHeight="false" outlineLevel="0" collapsed="false">
      <c r="A35" s="1"/>
      <c r="B35" s="210" t="s">
        <v>119</v>
      </c>
      <c r="C35" s="202" t="str">
        <f aca="false">VLOOKUP(B35,'MEDIÇÃO 9'!$A$20:$C$85,2,0)</f>
        <v>Concreto projetado com cimento especial</v>
      </c>
      <c r="D35" s="206" t="str">
        <f aca="false">VLOOKUP(B35,'MEDIÇÃO 9'!$A$20:$C$85,3,0)</f>
        <v>m³</v>
      </c>
      <c r="E35" s="211" t="n">
        <v>15</v>
      </c>
      <c r="F35" s="1"/>
      <c r="G35" s="1"/>
    </row>
    <row r="36" s="96" customFormat="true" ht="26.85" hidden="false" customHeight="true" outlineLevel="0" collapsed="false">
      <c r="B36" s="212" t="s">
        <v>214</v>
      </c>
      <c r="C36" s="212"/>
      <c r="D36" s="206"/>
      <c r="E36" s="211"/>
    </row>
    <row r="37" s="96" customFormat="true" ht="15" hidden="false" customHeight="false" outlineLevel="0" collapsed="false">
      <c r="A37" s="1"/>
      <c r="B37" s="208"/>
      <c r="C37" s="208"/>
      <c r="D37" s="208"/>
      <c r="E37" s="208"/>
      <c r="F37" s="1"/>
      <c r="G37" s="1"/>
    </row>
    <row r="38" s="96" customFormat="true" ht="15" hidden="false" customHeight="false" outlineLevel="0" collapsed="false">
      <c r="A38" s="1"/>
      <c r="B38" s="1"/>
      <c r="C38" s="1"/>
      <c r="D38" s="1"/>
      <c r="E38" s="1"/>
      <c r="F38" s="1"/>
      <c r="G38" s="1"/>
    </row>
    <row r="39" s="96" customFormat="true" ht="15" hidden="false" customHeight="false" outlineLevel="0" collapsed="false">
      <c r="A39" s="1"/>
      <c r="B39" s="1"/>
      <c r="C39" s="1"/>
      <c r="D39" s="1"/>
      <c r="E39" s="1"/>
      <c r="F39" s="1"/>
      <c r="G39" s="1"/>
    </row>
    <row r="40" s="96" customFormat="true" ht="15" hidden="false" customHeight="false" outlineLevel="0" collapsed="false">
      <c r="A40" s="1"/>
      <c r="B40" s="1"/>
      <c r="C40" s="1"/>
      <c r="D40" s="1"/>
      <c r="E40" s="1"/>
      <c r="F40" s="1"/>
      <c r="G40" s="1"/>
    </row>
    <row r="41" s="96" customFormat="true" ht="15" hidden="false" customHeight="false" outlineLevel="0" collapsed="false">
      <c r="A41" s="1"/>
      <c r="B41" s="1"/>
      <c r="C41" s="1"/>
      <c r="D41" s="1"/>
      <c r="E41" s="1"/>
      <c r="F41" s="1"/>
      <c r="G41" s="1"/>
    </row>
    <row r="42" s="96" customFormat="true" ht="15" hidden="false" customHeight="false" outlineLevel="0" collapsed="false">
      <c r="A42" s="1"/>
      <c r="B42" s="1"/>
      <c r="C42" s="1"/>
      <c r="D42" s="1"/>
      <c r="E42" s="1"/>
      <c r="F42" s="1"/>
      <c r="G42" s="1"/>
    </row>
    <row r="43" s="96" customFormat="true" ht="15" hidden="false" customHeight="false" outlineLevel="0" collapsed="false">
      <c r="A43" s="1"/>
      <c r="B43" s="1"/>
      <c r="C43" s="1"/>
      <c r="D43" s="1"/>
      <c r="E43" s="1"/>
      <c r="F43" s="1"/>
      <c r="G43" s="1"/>
    </row>
    <row r="44" s="96" customFormat="true" ht="15" hidden="false" customHeight="false" outlineLevel="0" collapsed="false">
      <c r="A44" s="1"/>
      <c r="B44" s="1"/>
      <c r="C44" s="1"/>
      <c r="D44" s="1"/>
      <c r="E44" s="1"/>
      <c r="F44" s="1"/>
      <c r="G44" s="1"/>
    </row>
    <row r="45" s="96" customFormat="true" ht="15" hidden="false" customHeight="false" outlineLevel="0" collapsed="false">
      <c r="A45" s="1"/>
      <c r="B45" s="1"/>
      <c r="C45" s="1"/>
      <c r="D45" s="1"/>
      <c r="E45" s="1"/>
      <c r="F45" s="1"/>
      <c r="G45" s="1"/>
    </row>
    <row r="46" customFormat="false" ht="15" hidden="false" customHeight="false" outlineLevel="0" collapsed="false">
      <c r="G46" s="1"/>
    </row>
    <row r="47" customFormat="false" ht="15" hidden="false" customHeight="false" outlineLevel="0" collapsed="false">
      <c r="G47" s="1"/>
    </row>
    <row r="48" customFormat="false" ht="15" hidden="false" customHeight="false" outlineLevel="0" collapsed="false">
      <c r="G48" s="1"/>
    </row>
    <row r="49" customFormat="false" ht="15" hidden="false" customHeight="false" outlineLevel="0" collapsed="false">
      <c r="G49" s="1"/>
    </row>
    <row r="50" customFormat="false" ht="15" hidden="false" customHeight="false" outlineLevel="0" collapsed="false">
      <c r="G50" s="1"/>
    </row>
    <row r="51" customFormat="false" ht="15" hidden="false" customHeight="false" outlineLevel="0" collapsed="false">
      <c r="G51" s="1"/>
    </row>
    <row r="52" customFormat="false" ht="15" hidden="false" customHeight="false" outlineLevel="0" collapsed="false">
      <c r="G52" s="1"/>
    </row>
    <row r="53" customFormat="false" ht="15" hidden="false" customHeight="false" outlineLevel="0" collapsed="false">
      <c r="G53" s="1"/>
    </row>
    <row r="54" customFormat="false" ht="15" hidden="false" customHeight="false" outlineLevel="0" collapsed="false">
      <c r="G54" s="1"/>
    </row>
    <row r="55" customFormat="false" ht="15" hidden="false" customHeight="false" outlineLevel="0" collapsed="false">
      <c r="G55" s="1"/>
    </row>
    <row r="56" customFormat="false" ht="15" hidden="false" customHeight="false" outlineLevel="0" collapsed="false">
      <c r="G56" s="1"/>
    </row>
    <row r="57" customFormat="false" ht="15" hidden="false" customHeight="false" outlineLevel="0" collapsed="false">
      <c r="G57" s="1"/>
    </row>
    <row r="58" customFormat="false" ht="15" hidden="false" customHeight="false" outlineLevel="0" collapsed="false">
      <c r="G58" s="1"/>
    </row>
    <row r="83" customFormat="false" ht="15" hidden="false" customHeight="false" outlineLevel="0" collapsed="false">
      <c r="G83" s="1"/>
    </row>
    <row r="84" customFormat="false" ht="15" hidden="false" customHeight="false" outlineLevel="0" collapsed="false">
      <c r="G84" s="1"/>
    </row>
    <row r="85" customFormat="false" ht="15" hidden="false" customHeight="false" outlineLevel="0" collapsed="false">
      <c r="G85" s="1"/>
    </row>
    <row r="86" customFormat="false" ht="15" hidden="false" customHeight="false" outlineLevel="0" collapsed="false">
      <c r="G86" s="1"/>
    </row>
    <row r="90" customFormat="false" ht="15" hidden="false" customHeight="false" outlineLevel="0" collapsed="false">
      <c r="G90" s="1"/>
    </row>
    <row r="91" customFormat="false" ht="15" hidden="false" customHeight="false" outlineLevel="0" collapsed="false">
      <c r="G91" s="1"/>
    </row>
    <row r="92" customFormat="false" ht="15" hidden="false" customHeight="false" outlineLevel="0" collapsed="false">
      <c r="G92" s="1"/>
    </row>
    <row r="93" s="96" customFormat="true" ht="15" hidden="false" customHeight="false" outlineLevel="0" collapsed="false">
      <c r="A93" s="1"/>
      <c r="B93" s="1"/>
      <c r="C93" s="1"/>
      <c r="D93" s="1"/>
      <c r="E93" s="1"/>
      <c r="F93" s="1"/>
      <c r="G93" s="1"/>
    </row>
    <row r="94" s="96" customFormat="true" ht="15" hidden="false" customHeight="false" outlineLevel="0" collapsed="false">
      <c r="A94" s="1"/>
      <c r="B94" s="1"/>
      <c r="C94" s="1"/>
      <c r="D94" s="1"/>
      <c r="E94" s="1"/>
      <c r="F94" s="1"/>
      <c r="G94" s="1"/>
    </row>
    <row r="95" s="1" customFormat="true" ht="15" hidden="false" customHeight="false" outlineLevel="0" collapsed="false"/>
    <row r="96" s="1" customFormat="true" ht="15" hidden="false" customHeight="false" outlineLevel="0" collapsed="false"/>
    <row r="97" customFormat="false" ht="15" hidden="false" customHeight="false" outlineLevel="0" collapsed="false">
      <c r="G97" s="1"/>
    </row>
    <row r="98" customFormat="false" ht="15" hidden="false" customHeight="false" outlineLevel="0" collapsed="false">
      <c r="G98" s="1"/>
    </row>
    <row r="99" customFormat="false" ht="15" hidden="false" customHeight="false" outlineLevel="0" collapsed="false">
      <c r="G99" s="1"/>
    </row>
    <row r="100" s="1" customFormat="true" ht="15" hidden="false" customHeight="false" outlineLevel="0" collapsed="false"/>
    <row r="101" s="1" customFormat="true" ht="15" hidden="false" customHeight="false" outlineLevel="0" collapsed="false"/>
    <row r="102" s="1" customFormat="true" ht="15" hidden="false" customHeight="false" outlineLevel="0" collapsed="false">
      <c r="G102" s="0"/>
    </row>
    <row r="103" s="1" customFormat="true" ht="15" hidden="false" customHeight="false" outlineLevel="0" collapsed="false">
      <c r="G103" s="0"/>
    </row>
    <row r="104" s="96" customFormat="true" ht="15" hidden="false" customHeight="false" outlineLevel="0" collapsed="false">
      <c r="A104" s="1"/>
      <c r="B104" s="1"/>
      <c r="C104" s="1"/>
      <c r="D104" s="1"/>
      <c r="E104" s="1"/>
      <c r="F104" s="1"/>
      <c r="G104" s="0"/>
    </row>
    <row r="105" s="96" customFormat="true" ht="15" hidden="false" customHeight="false" outlineLevel="0" collapsed="false">
      <c r="A105" s="1"/>
      <c r="B105" s="1"/>
      <c r="C105" s="1"/>
      <c r="D105" s="1"/>
      <c r="E105" s="1"/>
      <c r="F105" s="1"/>
      <c r="G105" s="0"/>
    </row>
    <row r="106" s="96" customFormat="true" ht="15" hidden="false" customHeight="false" outlineLevel="0" collapsed="false">
      <c r="A106" s="1"/>
      <c r="B106" s="1"/>
      <c r="C106" s="1"/>
      <c r="D106" s="1"/>
      <c r="E106" s="1"/>
      <c r="F106" s="1"/>
      <c r="G106" s="0"/>
    </row>
    <row r="107" s="96" customFormat="true" ht="15" hidden="false" customHeight="false" outlineLevel="0" collapsed="false">
      <c r="A107" s="1"/>
      <c r="B107" s="1"/>
      <c r="C107" s="1"/>
      <c r="D107" s="1"/>
      <c r="E107" s="1"/>
      <c r="F107" s="1"/>
      <c r="G107" s="0"/>
    </row>
    <row r="108" s="96" customFormat="true" ht="15" hidden="false" customHeight="false" outlineLevel="0" collapsed="false">
      <c r="A108" s="1"/>
      <c r="B108" s="1"/>
      <c r="C108" s="1"/>
      <c r="D108" s="1"/>
      <c r="E108" s="1"/>
      <c r="F108" s="1"/>
      <c r="G108" s="0"/>
    </row>
    <row r="109" s="96" customFormat="true" ht="15" hidden="false" customHeight="false" outlineLevel="0" collapsed="false">
      <c r="A109" s="1"/>
      <c r="B109" s="1"/>
      <c r="C109" s="1"/>
      <c r="D109" s="1"/>
      <c r="E109" s="1"/>
      <c r="F109" s="1"/>
      <c r="G109" s="0"/>
    </row>
    <row r="110" s="96" customFormat="true" ht="15" hidden="false" customHeight="false" outlineLevel="0" collapsed="false">
      <c r="A110" s="1"/>
      <c r="B110" s="1"/>
      <c r="C110" s="1"/>
      <c r="D110" s="1"/>
      <c r="E110" s="1"/>
      <c r="F110" s="1"/>
      <c r="G110" s="0"/>
    </row>
    <row r="111" s="96" customFormat="true" ht="15" hidden="false" customHeight="false" outlineLevel="0" collapsed="false">
      <c r="A111" s="1"/>
      <c r="B111" s="1"/>
      <c r="C111" s="1"/>
      <c r="D111" s="1"/>
      <c r="E111" s="1"/>
      <c r="F111" s="1"/>
      <c r="G111" s="0"/>
    </row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8">
    <mergeCell ref="B2:E7"/>
    <mergeCell ref="B8:E8"/>
    <mergeCell ref="B9:C9"/>
    <mergeCell ref="D9:E10"/>
    <mergeCell ref="B10:C10"/>
    <mergeCell ref="D13:D14"/>
    <mergeCell ref="E13:E14"/>
    <mergeCell ref="B14:C14"/>
    <mergeCell ref="D15:D16"/>
    <mergeCell ref="E15:E16"/>
    <mergeCell ref="B16:C16"/>
    <mergeCell ref="D17:D18"/>
    <mergeCell ref="E17:E18"/>
    <mergeCell ref="B18:C18"/>
    <mergeCell ref="D19:D20"/>
    <mergeCell ref="E19:E20"/>
    <mergeCell ref="B20:C20"/>
    <mergeCell ref="B21:E21"/>
    <mergeCell ref="D23:D24"/>
    <mergeCell ref="E23:E24"/>
    <mergeCell ref="B24:C24"/>
    <mergeCell ref="D25:D26"/>
    <mergeCell ref="E25:E26"/>
    <mergeCell ref="B26:C26"/>
    <mergeCell ref="D27:D28"/>
    <mergeCell ref="E27:E28"/>
    <mergeCell ref="B28:C28"/>
    <mergeCell ref="D29:D30"/>
    <mergeCell ref="E29:E30"/>
    <mergeCell ref="B30:C30"/>
    <mergeCell ref="D31:D32"/>
    <mergeCell ref="E31:E32"/>
    <mergeCell ref="B32:C32"/>
    <mergeCell ref="B33:E33"/>
    <mergeCell ref="D35:D36"/>
    <mergeCell ref="E35:E36"/>
    <mergeCell ref="B36:C36"/>
    <mergeCell ref="B37:E37"/>
  </mergeCells>
  <printOptions headings="false" gridLines="false" gridLinesSet="true" horizontalCentered="false" verticalCentered="false"/>
  <pageMargins left="0.905555555555556" right="0.905555555555556" top="0.7875" bottom="0.7875" header="0.511811023622047" footer="0.315277777777778"/>
  <pageSetup paperSize="9" scale="6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&amp;CRua Lourenço Roldi, 88 – Bairro São Roquinho
CEP: 29665-000 – Telefax (027) 3729-1300 – CNPJ (MF) 01.612.865/0001-71 – São Roque do Canaã –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523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2023-02-13T14:55:44Z</cp:lastPrinted>
  <dcterms:modified xsi:type="dcterms:W3CDTF">2023-02-13T14:55:40Z</dcterms:modified>
  <cp:revision>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